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\\mbh-dc1\Homes\pfreeman\My Documents\PF\"/>
    </mc:Choice>
  </mc:AlternateContent>
  <xr:revisionPtr revIDLastSave="0" documentId="8_{1E043C7A-BF73-44B1-8191-83B70C605AF6}" xr6:coauthVersionLast="41" xr6:coauthVersionMax="41" xr10:uidLastSave="{00000000-0000-0000-0000-000000000000}"/>
  <bookViews>
    <workbookView xWindow="-120" yWindow="-120" windowWidth="29040" windowHeight="16440" xr2:uid="{00000000-000D-0000-FFFF-FFFF00000000}"/>
  </bookViews>
  <sheets>
    <sheet name="List - !!Modifed points!!!" sheetId="1" r:id="rId1"/>
    <sheet name="Instruction Notes" sheetId="2" r:id="rId2"/>
    <sheet name="Lookup" sheetId="3" r:id="rId3"/>
  </sheets>
  <definedNames>
    <definedName name="Definition">Lookup!$H$71:$I$90</definedName>
    <definedName name="FoGDrop_Down">'List - !!Modifed points!!!'!$X$52:$AG$74</definedName>
    <definedName name="General">Lookup!$S$139:$V$142</definedName>
    <definedName name="Impact">Lookup!$M$113:$O$128</definedName>
    <definedName name="Local_language">'List - !!Modifed points!!!'!$P$28</definedName>
    <definedName name="Melee">Lookup!$P$130:$R$138</definedName>
    <definedName name="Shooting">Lookup!$J$93:$M$111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K93" i="1" l="1"/>
  <c r="AJ93" i="1"/>
  <c r="AI93" i="1"/>
  <c r="AH93" i="1"/>
  <c r="AK92" i="1"/>
  <c r="AJ92" i="1"/>
  <c r="AI92" i="1"/>
  <c r="AH92" i="1"/>
  <c r="AK91" i="1"/>
  <c r="AJ91" i="1"/>
  <c r="AI91" i="1"/>
  <c r="AH91" i="1"/>
  <c r="AK90" i="1"/>
  <c r="AJ90" i="1"/>
  <c r="AI90" i="1"/>
  <c r="AH90" i="1"/>
  <c r="AK89" i="1"/>
  <c r="AJ89" i="1"/>
  <c r="AI89" i="1"/>
  <c r="AH89" i="1"/>
  <c r="AK88" i="1"/>
  <c r="AJ88" i="1"/>
  <c r="AI88" i="1"/>
  <c r="AH88" i="1"/>
  <c r="AK87" i="1"/>
  <c r="AJ87" i="1"/>
  <c r="AI87" i="1"/>
  <c r="AH87" i="1"/>
  <c r="AK86" i="1"/>
  <c r="AJ86" i="1"/>
  <c r="AI86" i="1"/>
  <c r="AH86" i="1"/>
  <c r="AK85" i="1"/>
  <c r="AJ85" i="1"/>
  <c r="AI85" i="1"/>
  <c r="AH85" i="1"/>
  <c r="AK84" i="1"/>
  <c r="AJ84" i="1"/>
  <c r="AI84" i="1"/>
  <c r="AH84" i="1"/>
  <c r="AK83" i="1"/>
  <c r="AJ83" i="1"/>
  <c r="AI83" i="1"/>
  <c r="AH83" i="1"/>
  <c r="AK82" i="1"/>
  <c r="AJ82" i="1"/>
  <c r="AI82" i="1"/>
  <c r="AH82" i="1"/>
  <c r="AK81" i="1"/>
  <c r="AJ81" i="1"/>
  <c r="AI81" i="1"/>
  <c r="AH81" i="1"/>
  <c r="AK80" i="1"/>
  <c r="AJ80" i="1"/>
  <c r="AI80" i="1"/>
  <c r="AH80" i="1"/>
  <c r="AK79" i="1"/>
  <c r="AJ79" i="1"/>
  <c r="AI79" i="1"/>
  <c r="AH79" i="1"/>
  <c r="AK78" i="1"/>
  <c r="AJ78" i="1"/>
  <c r="AI78" i="1"/>
  <c r="AH78" i="1"/>
  <c r="AK77" i="1"/>
  <c r="AJ77" i="1"/>
  <c r="AI77" i="1"/>
  <c r="AH77" i="1"/>
  <c r="AS45" i="1"/>
  <c r="AO45" i="1"/>
  <c r="AN45" i="1"/>
  <c r="AM45" i="1"/>
  <c r="AL45" i="1"/>
  <c r="AJ45" i="1"/>
  <c r="AU45" i="1" s="1"/>
  <c r="AI45" i="1"/>
  <c r="AH45" i="1"/>
  <c r="AT45" i="1" s="1"/>
  <c r="AD45" i="1"/>
  <c r="AE45" i="1" s="1"/>
  <c r="AB45" i="1"/>
  <c r="AA45" i="1"/>
  <c r="Y45" i="1"/>
  <c r="R45" i="1"/>
  <c r="P45" i="1"/>
  <c r="O45" i="1"/>
  <c r="AC45" i="1" s="1"/>
  <c r="M45" i="1"/>
  <c r="AP45" i="1" s="1"/>
  <c r="AS44" i="1"/>
  <c r="AO44" i="1"/>
  <c r="AN44" i="1"/>
  <c r="AM44" i="1"/>
  <c r="AL44" i="1"/>
  <c r="AJ44" i="1"/>
  <c r="AU44" i="1" s="1"/>
  <c r="AI44" i="1"/>
  <c r="AH44" i="1"/>
  <c r="AT44" i="1" s="1"/>
  <c r="AE44" i="1"/>
  <c r="AD44" i="1"/>
  <c r="AB44" i="1"/>
  <c r="AA44" i="1"/>
  <c r="Y44" i="1" s="1"/>
  <c r="R44" i="1"/>
  <c r="P44" i="1"/>
  <c r="O44" i="1"/>
  <c r="M44" i="1" s="1"/>
  <c r="AP44" i="1" s="1"/>
  <c r="AS43" i="1"/>
  <c r="AO43" i="1"/>
  <c r="AN43" i="1"/>
  <c r="AM43" i="1"/>
  <c r="AL43" i="1"/>
  <c r="AJ43" i="1"/>
  <c r="AU43" i="1" s="1"/>
  <c r="AI43" i="1"/>
  <c r="AH43" i="1"/>
  <c r="AT43" i="1" s="1"/>
  <c r="AD43" i="1"/>
  <c r="AE43" i="1" s="1"/>
  <c r="AB43" i="1"/>
  <c r="AA43" i="1"/>
  <c r="Y43" i="1"/>
  <c r="R43" i="1"/>
  <c r="P43" i="1"/>
  <c r="O43" i="1"/>
  <c r="AC43" i="1" s="1"/>
  <c r="M43" i="1"/>
  <c r="AP43" i="1" s="1"/>
  <c r="AS42" i="1"/>
  <c r="AO42" i="1"/>
  <c r="AN42" i="1"/>
  <c r="AM42" i="1"/>
  <c r="AL42" i="1"/>
  <c r="AJ42" i="1"/>
  <c r="AU42" i="1" s="1"/>
  <c r="AI42" i="1"/>
  <c r="AH42" i="1"/>
  <c r="AT42" i="1" s="1"/>
  <c r="AE42" i="1"/>
  <c r="AD42" i="1"/>
  <c r="AB42" i="1"/>
  <c r="AA42" i="1"/>
  <c r="Y42" i="1" s="1"/>
  <c r="R42" i="1"/>
  <c r="P42" i="1"/>
  <c r="O42" i="1"/>
  <c r="M42" i="1" s="1"/>
  <c r="AP42" i="1" s="1"/>
  <c r="AS41" i="1"/>
  <c r="AO41" i="1"/>
  <c r="AN41" i="1"/>
  <c r="AM41" i="1"/>
  <c r="AL41" i="1"/>
  <c r="AJ41" i="1"/>
  <c r="AU41" i="1" s="1"/>
  <c r="AI41" i="1"/>
  <c r="AH41" i="1"/>
  <c r="AT41" i="1" s="1"/>
  <c r="AD41" i="1"/>
  <c r="AE41" i="1" s="1"/>
  <c r="AB41" i="1"/>
  <c r="AA41" i="1"/>
  <c r="Y41" i="1"/>
  <c r="R41" i="1"/>
  <c r="P41" i="1"/>
  <c r="O41" i="1"/>
  <c r="AC41" i="1" s="1"/>
  <c r="M41" i="1"/>
  <c r="AP41" i="1" s="1"/>
  <c r="AS40" i="1"/>
  <c r="AO40" i="1"/>
  <c r="AN40" i="1"/>
  <c r="AM40" i="1"/>
  <c r="AL40" i="1"/>
  <c r="AJ40" i="1"/>
  <c r="AU40" i="1" s="1"/>
  <c r="AI40" i="1"/>
  <c r="AH40" i="1"/>
  <c r="AT40" i="1" s="1"/>
  <c r="AE40" i="1"/>
  <c r="AD40" i="1"/>
  <c r="AB40" i="1"/>
  <c r="AA40" i="1"/>
  <c r="Y40" i="1" s="1"/>
  <c r="R40" i="1"/>
  <c r="P40" i="1"/>
  <c r="O40" i="1"/>
  <c r="M40" i="1" s="1"/>
  <c r="AP40" i="1" s="1"/>
  <c r="AS39" i="1"/>
  <c r="AO39" i="1"/>
  <c r="AN39" i="1"/>
  <c r="AM39" i="1"/>
  <c r="AL39" i="1"/>
  <c r="AJ39" i="1"/>
  <c r="AU39" i="1" s="1"/>
  <c r="AI39" i="1"/>
  <c r="AH39" i="1"/>
  <c r="AT39" i="1" s="1"/>
  <c r="AD39" i="1"/>
  <c r="AE39" i="1" s="1"/>
  <c r="AB39" i="1"/>
  <c r="AA39" i="1"/>
  <c r="Y39" i="1"/>
  <c r="R39" i="1"/>
  <c r="P39" i="1"/>
  <c r="O39" i="1"/>
  <c r="AC39" i="1" s="1"/>
  <c r="M39" i="1"/>
  <c r="AP39" i="1" s="1"/>
  <c r="AS38" i="1"/>
  <c r="AO38" i="1"/>
  <c r="AN38" i="1"/>
  <c r="AM38" i="1"/>
  <c r="AL38" i="1"/>
  <c r="AJ38" i="1"/>
  <c r="AU38" i="1" s="1"/>
  <c r="AI38" i="1"/>
  <c r="AH38" i="1"/>
  <c r="AT38" i="1" s="1"/>
  <c r="AE38" i="1"/>
  <c r="AD38" i="1"/>
  <c r="AB38" i="1"/>
  <c r="AA38" i="1"/>
  <c r="Y38" i="1" s="1"/>
  <c r="R38" i="1"/>
  <c r="P38" i="1"/>
  <c r="O38" i="1"/>
  <c r="AS37" i="1"/>
  <c r="AO37" i="1"/>
  <c r="AN37" i="1"/>
  <c r="AM37" i="1"/>
  <c r="AL37" i="1"/>
  <c r="AJ37" i="1"/>
  <c r="AU37" i="1" s="1"/>
  <c r="AI37" i="1"/>
  <c r="AH37" i="1"/>
  <c r="AT37" i="1" s="1"/>
  <c r="AD37" i="1"/>
  <c r="AE37" i="1" s="1"/>
  <c r="AB37" i="1"/>
  <c r="AA37" i="1"/>
  <c r="Y37" i="1"/>
  <c r="R37" i="1"/>
  <c r="P37" i="1"/>
  <c r="O37" i="1"/>
  <c r="AC37" i="1" s="1"/>
  <c r="M37" i="1"/>
  <c r="AP37" i="1" s="1"/>
  <c r="AS36" i="1"/>
  <c r="AP36" i="1"/>
  <c r="AO36" i="1"/>
  <c r="AN36" i="1"/>
  <c r="AM36" i="1"/>
  <c r="AL36" i="1"/>
  <c r="AJ36" i="1"/>
  <c r="AU36" i="1" s="1"/>
  <c r="AI36" i="1"/>
  <c r="AH36" i="1"/>
  <c r="AT36" i="1" s="1"/>
  <c r="AE36" i="1"/>
  <c r="AD36" i="1"/>
  <c r="AC36" i="1"/>
  <c r="AB36" i="1"/>
  <c r="AA36" i="1"/>
  <c r="R36" i="1"/>
  <c r="P36" i="1"/>
  <c r="O36" i="1"/>
  <c r="M36" i="1" s="1"/>
  <c r="AS35" i="1"/>
  <c r="AO35" i="1"/>
  <c r="AN35" i="1"/>
  <c r="AM35" i="1"/>
  <c r="AL35" i="1"/>
  <c r="AJ35" i="1"/>
  <c r="AU35" i="1" s="1"/>
  <c r="AI35" i="1"/>
  <c r="AH35" i="1"/>
  <c r="AT35" i="1" s="1"/>
  <c r="AE35" i="1"/>
  <c r="AD35" i="1"/>
  <c r="AB35" i="1"/>
  <c r="AA35" i="1"/>
  <c r="Y35" i="1"/>
  <c r="R35" i="1"/>
  <c r="P35" i="1"/>
  <c r="O35" i="1"/>
  <c r="M35" i="1"/>
  <c r="AP35" i="1" s="1"/>
  <c r="AS34" i="1"/>
  <c r="AO34" i="1"/>
  <c r="AN34" i="1"/>
  <c r="AM34" i="1"/>
  <c r="AL34" i="1"/>
  <c r="AJ34" i="1"/>
  <c r="AU34" i="1" s="1"/>
  <c r="AI34" i="1"/>
  <c r="AH34" i="1"/>
  <c r="AT34" i="1" s="1"/>
  <c r="AE34" i="1"/>
  <c r="AD34" i="1"/>
  <c r="AB34" i="1"/>
  <c r="AA34" i="1"/>
  <c r="R34" i="1"/>
  <c r="P34" i="1"/>
  <c r="O34" i="1"/>
  <c r="M34" i="1" s="1"/>
  <c r="AP34" i="1" s="1"/>
  <c r="AS33" i="1"/>
  <c r="AO33" i="1"/>
  <c r="AN33" i="1"/>
  <c r="AM33" i="1"/>
  <c r="AL33" i="1"/>
  <c r="AJ33" i="1"/>
  <c r="AU33" i="1" s="1"/>
  <c r="AI33" i="1"/>
  <c r="AH33" i="1"/>
  <c r="AT33" i="1" s="1"/>
  <c r="AD33" i="1"/>
  <c r="AE33" i="1" s="1"/>
  <c r="AB33" i="1"/>
  <c r="AA33" i="1"/>
  <c r="Y33" i="1"/>
  <c r="R33" i="1"/>
  <c r="P33" i="1"/>
  <c r="O33" i="1"/>
  <c r="AC33" i="1" s="1"/>
  <c r="M33" i="1"/>
  <c r="AP33" i="1" s="1"/>
  <c r="AS32" i="1"/>
  <c r="AP32" i="1"/>
  <c r="AO32" i="1"/>
  <c r="AN32" i="1"/>
  <c r="AM32" i="1"/>
  <c r="AL32" i="1"/>
  <c r="AJ32" i="1"/>
  <c r="AU32" i="1" s="1"/>
  <c r="AI32" i="1"/>
  <c r="AH32" i="1"/>
  <c r="AT32" i="1" s="1"/>
  <c r="AE32" i="1"/>
  <c r="AD32" i="1"/>
  <c r="AC32" i="1"/>
  <c r="AB32" i="1"/>
  <c r="AA32" i="1"/>
  <c r="R32" i="1"/>
  <c r="P32" i="1"/>
  <c r="O32" i="1"/>
  <c r="M32" i="1" s="1"/>
  <c r="AS31" i="1"/>
  <c r="AO31" i="1"/>
  <c r="AN31" i="1"/>
  <c r="AM31" i="1"/>
  <c r="AL31" i="1"/>
  <c r="AJ31" i="1"/>
  <c r="AU31" i="1" s="1"/>
  <c r="AI31" i="1"/>
  <c r="AH31" i="1"/>
  <c r="AT31" i="1" s="1"/>
  <c r="AD31" i="1"/>
  <c r="AE31" i="1" s="1"/>
  <c r="AB31" i="1"/>
  <c r="AA31" i="1"/>
  <c r="Z31" i="1"/>
  <c r="W31" i="1" s="1"/>
  <c r="R31" i="1"/>
  <c r="P31" i="1"/>
  <c r="O31" i="1"/>
  <c r="AS30" i="1"/>
  <c r="AO30" i="1"/>
  <c r="AN30" i="1"/>
  <c r="AM30" i="1"/>
  <c r="AL30" i="1"/>
  <c r="AJ30" i="1"/>
  <c r="AU30" i="1" s="1"/>
  <c r="AI30" i="1"/>
  <c r="AH30" i="1"/>
  <c r="AT30" i="1" s="1"/>
  <c r="AD30" i="1"/>
  <c r="AE30" i="1" s="1"/>
  <c r="AB30" i="1"/>
  <c r="AA30" i="1"/>
  <c r="X30" i="1"/>
  <c r="R30" i="1"/>
  <c r="P30" i="1"/>
  <c r="O30" i="1"/>
  <c r="AS29" i="1"/>
  <c r="AO29" i="1"/>
  <c r="AN29" i="1"/>
  <c r="AM29" i="1"/>
  <c r="AL29" i="1"/>
  <c r="AJ29" i="1"/>
  <c r="AU29" i="1" s="1"/>
  <c r="AI29" i="1"/>
  <c r="AH29" i="1"/>
  <c r="AT29" i="1" s="1"/>
  <c r="AD29" i="1"/>
  <c r="AE29" i="1" s="1"/>
  <c r="AB29" i="1"/>
  <c r="AA29" i="1"/>
  <c r="Z29" i="1"/>
  <c r="W29" i="1" s="1"/>
  <c r="Y29" i="1"/>
  <c r="X29" i="1"/>
  <c r="R29" i="1"/>
  <c r="P29" i="1"/>
  <c r="O29" i="1"/>
  <c r="AS28" i="1"/>
  <c r="AO28" i="1"/>
  <c r="AN28" i="1"/>
  <c r="AM28" i="1"/>
  <c r="AL28" i="1"/>
  <c r="AJ28" i="1"/>
  <c r="AU28" i="1" s="1"/>
  <c r="AI28" i="1"/>
  <c r="AH28" i="1"/>
  <c r="AT28" i="1" s="1"/>
  <c r="AD28" i="1"/>
  <c r="AE28" i="1" s="1"/>
  <c r="AB28" i="1"/>
  <c r="AA28" i="1"/>
  <c r="Z28" i="1"/>
  <c r="W28" i="1" s="1"/>
  <c r="Y28" i="1"/>
  <c r="X28" i="1"/>
  <c r="R28" i="1"/>
  <c r="P28" i="1"/>
  <c r="O28" i="1"/>
  <c r="AS27" i="1"/>
  <c r="AO27" i="1"/>
  <c r="AN27" i="1"/>
  <c r="AM27" i="1"/>
  <c r="AL27" i="1"/>
  <c r="AJ27" i="1"/>
  <c r="AU27" i="1" s="1"/>
  <c r="AI27" i="1"/>
  <c r="AH27" i="1"/>
  <c r="AT27" i="1" s="1"/>
  <c r="AD27" i="1"/>
  <c r="AE27" i="1" s="1"/>
  <c r="AB27" i="1"/>
  <c r="AA27" i="1"/>
  <c r="Z27" i="1"/>
  <c r="W27" i="1" s="1"/>
  <c r="Y27" i="1"/>
  <c r="X27" i="1"/>
  <c r="R27" i="1"/>
  <c r="P27" i="1"/>
  <c r="O27" i="1"/>
  <c r="AS26" i="1"/>
  <c r="AO26" i="1"/>
  <c r="AN26" i="1"/>
  <c r="AM26" i="1"/>
  <c r="AL26" i="1"/>
  <c r="AJ26" i="1"/>
  <c r="AU26" i="1" s="1"/>
  <c r="AI26" i="1"/>
  <c r="AH26" i="1"/>
  <c r="AT26" i="1" s="1"/>
  <c r="AD26" i="1"/>
  <c r="AE26" i="1" s="1"/>
  <c r="AB26" i="1"/>
  <c r="AA26" i="1"/>
  <c r="Z26" i="1"/>
  <c r="W26" i="1" s="1"/>
  <c r="Y26" i="1"/>
  <c r="X26" i="1"/>
  <c r="R26" i="1"/>
  <c r="P26" i="1"/>
  <c r="O26" i="1"/>
  <c r="AS25" i="1"/>
  <c r="AO25" i="1"/>
  <c r="AN25" i="1"/>
  <c r="AM25" i="1"/>
  <c r="AL25" i="1"/>
  <c r="AJ25" i="1"/>
  <c r="AU25" i="1" s="1"/>
  <c r="AI25" i="1"/>
  <c r="AH25" i="1"/>
  <c r="AT25" i="1" s="1"/>
  <c r="AD25" i="1"/>
  <c r="AE25" i="1" s="1"/>
  <c r="AB25" i="1"/>
  <c r="AA25" i="1"/>
  <c r="Z25" i="1"/>
  <c r="W25" i="1" s="1"/>
  <c r="Y25" i="1"/>
  <c r="X25" i="1"/>
  <c r="R25" i="1"/>
  <c r="P25" i="1"/>
  <c r="O25" i="1"/>
  <c r="AS24" i="1"/>
  <c r="AO24" i="1"/>
  <c r="AN24" i="1"/>
  <c r="AM24" i="1"/>
  <c r="AL24" i="1"/>
  <c r="AJ24" i="1"/>
  <c r="AU24" i="1" s="1"/>
  <c r="AI24" i="1"/>
  <c r="AH24" i="1"/>
  <c r="AT24" i="1" s="1"/>
  <c r="AD24" i="1"/>
  <c r="AE24" i="1" s="1"/>
  <c r="AB24" i="1"/>
  <c r="AA24" i="1"/>
  <c r="Z24" i="1"/>
  <c r="W24" i="1" s="1"/>
  <c r="Y24" i="1"/>
  <c r="X24" i="1"/>
  <c r="R24" i="1"/>
  <c r="P24" i="1"/>
  <c r="O24" i="1"/>
  <c r="AS23" i="1"/>
  <c r="AO23" i="1"/>
  <c r="AN23" i="1"/>
  <c r="AM23" i="1"/>
  <c r="AL23" i="1"/>
  <c r="AJ23" i="1"/>
  <c r="AU23" i="1" s="1"/>
  <c r="AI23" i="1"/>
  <c r="AH23" i="1"/>
  <c r="AT23" i="1" s="1"/>
  <c r="AD23" i="1"/>
  <c r="AE23" i="1" s="1"/>
  <c r="AB23" i="1"/>
  <c r="AA23" i="1"/>
  <c r="Z23" i="1"/>
  <c r="W23" i="1" s="1"/>
  <c r="Y23" i="1"/>
  <c r="X23" i="1"/>
  <c r="R23" i="1"/>
  <c r="P23" i="1"/>
  <c r="O23" i="1"/>
  <c r="AS22" i="1"/>
  <c r="AO22" i="1"/>
  <c r="AN22" i="1"/>
  <c r="AM22" i="1"/>
  <c r="AL22" i="1"/>
  <c r="AJ22" i="1"/>
  <c r="AU22" i="1" s="1"/>
  <c r="AI22" i="1"/>
  <c r="AH22" i="1"/>
  <c r="AT22" i="1" s="1"/>
  <c r="AD22" i="1"/>
  <c r="AE22" i="1" s="1"/>
  <c r="AB22" i="1"/>
  <c r="AA22" i="1"/>
  <c r="Z22" i="1"/>
  <c r="W22" i="1" s="1"/>
  <c r="Y22" i="1"/>
  <c r="X22" i="1"/>
  <c r="R22" i="1"/>
  <c r="P22" i="1"/>
  <c r="O22" i="1"/>
  <c r="AS21" i="1"/>
  <c r="AO21" i="1"/>
  <c r="AN21" i="1"/>
  <c r="AM21" i="1"/>
  <c r="AL21" i="1"/>
  <c r="AJ21" i="1"/>
  <c r="AU21" i="1" s="1"/>
  <c r="AI21" i="1"/>
  <c r="AH21" i="1"/>
  <c r="AT21" i="1" s="1"/>
  <c r="AD21" i="1"/>
  <c r="AE21" i="1" s="1"/>
  <c r="AB21" i="1"/>
  <c r="AA21" i="1"/>
  <c r="Z21" i="1"/>
  <c r="W21" i="1" s="1"/>
  <c r="Y21" i="1"/>
  <c r="X21" i="1"/>
  <c r="R21" i="1"/>
  <c r="P21" i="1"/>
  <c r="O21" i="1"/>
  <c r="AS20" i="1"/>
  <c r="AO20" i="1"/>
  <c r="AN20" i="1"/>
  <c r="AM20" i="1"/>
  <c r="AL20" i="1"/>
  <c r="AJ20" i="1"/>
  <c r="AU20" i="1" s="1"/>
  <c r="AI20" i="1"/>
  <c r="AH20" i="1"/>
  <c r="AT20" i="1" s="1"/>
  <c r="AD20" i="1"/>
  <c r="AE20" i="1" s="1"/>
  <c r="AB20" i="1"/>
  <c r="AA20" i="1"/>
  <c r="Z20" i="1"/>
  <c r="W20" i="1" s="1"/>
  <c r="Y20" i="1"/>
  <c r="X20" i="1"/>
  <c r="R20" i="1"/>
  <c r="P20" i="1"/>
  <c r="O20" i="1"/>
  <c r="AS19" i="1"/>
  <c r="AO19" i="1"/>
  <c r="AN19" i="1"/>
  <c r="AM19" i="1"/>
  <c r="AL19" i="1"/>
  <c r="AJ19" i="1"/>
  <c r="AU19" i="1" s="1"/>
  <c r="AI19" i="1"/>
  <c r="AH19" i="1"/>
  <c r="AT19" i="1" s="1"/>
  <c r="AD19" i="1"/>
  <c r="AE19" i="1" s="1"/>
  <c r="AB19" i="1"/>
  <c r="AA19" i="1"/>
  <c r="R19" i="1"/>
  <c r="P19" i="1"/>
  <c r="O19" i="1"/>
  <c r="AS18" i="1"/>
  <c r="AO18" i="1"/>
  <c r="AN18" i="1"/>
  <c r="AM18" i="1"/>
  <c r="AL18" i="1"/>
  <c r="AJ18" i="1"/>
  <c r="AU18" i="1" s="1"/>
  <c r="AI18" i="1"/>
  <c r="AH18" i="1"/>
  <c r="AT18" i="1" s="1"/>
  <c r="AD18" i="1"/>
  <c r="AE18" i="1" s="1"/>
  <c r="AB18" i="1"/>
  <c r="AA18" i="1"/>
  <c r="R18" i="1"/>
  <c r="P18" i="1"/>
  <c r="O18" i="1"/>
  <c r="AS17" i="1"/>
  <c r="AO17" i="1"/>
  <c r="AN17" i="1"/>
  <c r="AM17" i="1"/>
  <c r="AL17" i="1"/>
  <c r="AJ17" i="1"/>
  <c r="AU17" i="1" s="1"/>
  <c r="AI17" i="1"/>
  <c r="AH17" i="1"/>
  <c r="AT17" i="1" s="1"/>
  <c r="AD17" i="1"/>
  <c r="AE17" i="1" s="1"/>
  <c r="AB17" i="1"/>
  <c r="AA17" i="1"/>
  <c r="R17" i="1"/>
  <c r="P17" i="1"/>
  <c r="O17" i="1"/>
  <c r="AS16" i="1"/>
  <c r="AO16" i="1"/>
  <c r="AN16" i="1"/>
  <c r="AM16" i="1"/>
  <c r="AL16" i="1"/>
  <c r="AJ16" i="1"/>
  <c r="AU16" i="1" s="1"/>
  <c r="AI16" i="1"/>
  <c r="AH16" i="1"/>
  <c r="AT16" i="1" s="1"/>
  <c r="AD16" i="1"/>
  <c r="AE16" i="1" s="1"/>
  <c r="AB16" i="1"/>
  <c r="AA16" i="1"/>
  <c r="R16" i="1"/>
  <c r="P16" i="1"/>
  <c r="O16" i="1"/>
  <c r="AS15" i="1"/>
  <c r="AO15" i="1"/>
  <c r="AN15" i="1"/>
  <c r="AM15" i="1"/>
  <c r="AL15" i="1"/>
  <c r="AJ15" i="1"/>
  <c r="AU15" i="1" s="1"/>
  <c r="AI15" i="1"/>
  <c r="AH15" i="1"/>
  <c r="AT15" i="1" s="1"/>
  <c r="AD15" i="1"/>
  <c r="AE15" i="1" s="1"/>
  <c r="AB15" i="1"/>
  <c r="AA15" i="1"/>
  <c r="R15" i="1"/>
  <c r="P15" i="1"/>
  <c r="O15" i="1"/>
  <c r="AS14" i="1"/>
  <c r="AO14" i="1"/>
  <c r="AN14" i="1"/>
  <c r="AM14" i="1"/>
  <c r="AL14" i="1"/>
  <c r="AJ14" i="1"/>
  <c r="AU14" i="1" s="1"/>
  <c r="AI14" i="1"/>
  <c r="AH14" i="1"/>
  <c r="AT14" i="1" s="1"/>
  <c r="AD14" i="1"/>
  <c r="AE14" i="1" s="1"/>
  <c r="AB14" i="1"/>
  <c r="AA14" i="1"/>
  <c r="R14" i="1"/>
  <c r="P14" i="1"/>
  <c r="O14" i="1"/>
  <c r="AS13" i="1"/>
  <c r="AO13" i="1"/>
  <c r="AN13" i="1"/>
  <c r="AM13" i="1"/>
  <c r="AL13" i="1"/>
  <c r="AJ13" i="1"/>
  <c r="AU13" i="1" s="1"/>
  <c r="AI13" i="1"/>
  <c r="AH13" i="1"/>
  <c r="AT13" i="1" s="1"/>
  <c r="AD13" i="1"/>
  <c r="AE13" i="1" s="1"/>
  <c r="AB13" i="1"/>
  <c r="AA13" i="1"/>
  <c r="R13" i="1"/>
  <c r="P13" i="1"/>
  <c r="O13" i="1"/>
  <c r="AS12" i="1"/>
  <c r="AO12" i="1"/>
  <c r="AN12" i="1"/>
  <c r="AM12" i="1"/>
  <c r="AL12" i="1"/>
  <c r="AJ12" i="1"/>
  <c r="AU12" i="1" s="1"/>
  <c r="AI12" i="1"/>
  <c r="AH12" i="1"/>
  <c r="AT12" i="1" s="1"/>
  <c r="AD12" i="1"/>
  <c r="AE12" i="1" s="1"/>
  <c r="AB12" i="1"/>
  <c r="AA12" i="1"/>
  <c r="R12" i="1"/>
  <c r="P12" i="1"/>
  <c r="O12" i="1"/>
  <c r="AS11" i="1"/>
  <c r="AO11" i="1"/>
  <c r="AN11" i="1"/>
  <c r="AM11" i="1"/>
  <c r="AL11" i="1"/>
  <c r="AJ11" i="1"/>
  <c r="AU11" i="1" s="1"/>
  <c r="AI11" i="1"/>
  <c r="AH11" i="1"/>
  <c r="AT11" i="1" s="1"/>
  <c r="AD11" i="1"/>
  <c r="AE11" i="1" s="1"/>
  <c r="AB11" i="1"/>
  <c r="AA11" i="1"/>
  <c r="R11" i="1"/>
  <c r="P11" i="1"/>
  <c r="O11" i="1"/>
  <c r="AS10" i="1"/>
  <c r="AO10" i="1"/>
  <c r="AN10" i="1"/>
  <c r="AM10" i="1"/>
  <c r="AL10" i="1"/>
  <c r="AJ10" i="1"/>
  <c r="AU10" i="1" s="1"/>
  <c r="AI10" i="1"/>
  <c r="AH10" i="1"/>
  <c r="AT10" i="1" s="1"/>
  <c r="AD10" i="1"/>
  <c r="AE10" i="1" s="1"/>
  <c r="AB10" i="1"/>
  <c r="AA10" i="1"/>
  <c r="R10" i="1"/>
  <c r="P10" i="1"/>
  <c r="O10" i="1"/>
  <c r="AS9" i="1"/>
  <c r="AO9" i="1"/>
  <c r="AN9" i="1"/>
  <c r="AM9" i="1"/>
  <c r="AL9" i="1"/>
  <c r="AJ9" i="1"/>
  <c r="AU9" i="1" s="1"/>
  <c r="AI9" i="1"/>
  <c r="AH9" i="1"/>
  <c r="AT9" i="1" s="1"/>
  <c r="AE9" i="1"/>
  <c r="W6" i="1" s="1"/>
  <c r="X6" i="1" s="1"/>
  <c r="AD9" i="1"/>
  <c r="AB9" i="1"/>
  <c r="P3" i="1" s="1"/>
  <c r="AA9" i="1"/>
  <c r="R9" i="1"/>
  <c r="J7" i="1"/>
  <c r="Y6" i="1"/>
  <c r="I6" i="1"/>
  <c r="J6" i="1" s="1"/>
  <c r="M5" i="1"/>
  <c r="M4" i="1"/>
  <c r="F4" i="1"/>
  <c r="M3" i="1"/>
  <c r="M2" i="1"/>
  <c r="P7" i="1" l="1"/>
  <c r="Y32" i="1"/>
  <c r="Y31" i="1"/>
  <c r="Y30" i="1"/>
  <c r="Y36" i="1"/>
  <c r="X35" i="1"/>
  <c r="M38" i="1"/>
  <c r="AP38" i="1" s="1"/>
  <c r="AC38" i="1"/>
  <c r="AC10" i="1"/>
  <c r="M10" i="1"/>
  <c r="AP10" i="1" s="1"/>
  <c r="AC11" i="1"/>
  <c r="M11" i="1"/>
  <c r="AP11" i="1" s="1"/>
  <c r="AC12" i="1"/>
  <c r="M12" i="1"/>
  <c r="AP12" i="1" s="1"/>
  <c r="AC13" i="1"/>
  <c r="M13" i="1"/>
  <c r="AP13" i="1" s="1"/>
  <c r="AC14" i="1"/>
  <c r="M14" i="1"/>
  <c r="AP14" i="1" s="1"/>
  <c r="AC15" i="1"/>
  <c r="M15" i="1"/>
  <c r="AP15" i="1" s="1"/>
  <c r="AC16" i="1"/>
  <c r="M16" i="1"/>
  <c r="AP16" i="1" s="1"/>
  <c r="AC17" i="1"/>
  <c r="M17" i="1"/>
  <c r="AP17" i="1" s="1"/>
  <c r="AC18" i="1"/>
  <c r="M18" i="1"/>
  <c r="AP18" i="1" s="1"/>
  <c r="AC19" i="1"/>
  <c r="M19" i="1"/>
  <c r="AP19" i="1" s="1"/>
  <c r="Z30" i="1"/>
  <c r="W30" i="1" s="1"/>
  <c r="X31" i="1"/>
  <c r="Y34" i="1"/>
  <c r="AC34" i="1"/>
  <c r="AC40" i="1"/>
  <c r="AC42" i="1"/>
  <c r="AC44" i="1"/>
  <c r="Z35" i="1"/>
  <c r="W35" i="1" s="1"/>
  <c r="Z9" i="1"/>
  <c r="W9" i="1" s="1"/>
  <c r="O9" i="1" s="1"/>
  <c r="X9" i="1"/>
  <c r="Z10" i="1"/>
  <c r="W10" i="1" s="1"/>
  <c r="X10" i="1"/>
  <c r="Z11" i="1"/>
  <c r="W11" i="1" s="1"/>
  <c r="X11" i="1"/>
  <c r="Z12" i="1"/>
  <c r="W12" i="1" s="1"/>
  <c r="X12" i="1"/>
  <c r="Z13" i="1"/>
  <c r="W13" i="1" s="1"/>
  <c r="X13" i="1"/>
  <c r="Z14" i="1"/>
  <c r="W14" i="1" s="1"/>
  <c r="X14" i="1"/>
  <c r="Z15" i="1"/>
  <c r="W15" i="1" s="1"/>
  <c r="X15" i="1"/>
  <c r="Z16" i="1"/>
  <c r="W16" i="1" s="1"/>
  <c r="X16" i="1"/>
  <c r="Z17" i="1"/>
  <c r="W17" i="1" s="1"/>
  <c r="X17" i="1"/>
  <c r="Z18" i="1"/>
  <c r="W18" i="1" s="1"/>
  <c r="X18" i="1"/>
  <c r="Z19" i="1"/>
  <c r="W19" i="1" s="1"/>
  <c r="X19" i="1"/>
  <c r="AC20" i="1"/>
  <c r="M20" i="1"/>
  <c r="AP20" i="1" s="1"/>
  <c r="AC21" i="1"/>
  <c r="M21" i="1"/>
  <c r="AP21" i="1" s="1"/>
  <c r="AC22" i="1"/>
  <c r="M22" i="1"/>
  <c r="AP22" i="1" s="1"/>
  <c r="AC23" i="1"/>
  <c r="M23" i="1"/>
  <c r="AP23" i="1" s="1"/>
  <c r="AC24" i="1"/>
  <c r="M24" i="1"/>
  <c r="AP24" i="1" s="1"/>
  <c r="AC25" i="1"/>
  <c r="M25" i="1"/>
  <c r="AP25" i="1" s="1"/>
  <c r="AC26" i="1"/>
  <c r="M26" i="1"/>
  <c r="AP26" i="1" s="1"/>
  <c r="AC27" i="1"/>
  <c r="M27" i="1"/>
  <c r="AP27" i="1" s="1"/>
  <c r="AC28" i="1"/>
  <c r="M28" i="1"/>
  <c r="AP28" i="1" s="1"/>
  <c r="AC29" i="1"/>
  <c r="M29" i="1"/>
  <c r="AP29" i="1" s="1"/>
  <c r="AC30" i="1"/>
  <c r="M30" i="1"/>
  <c r="AP30" i="1" s="1"/>
  <c r="AC31" i="1"/>
  <c r="M31" i="1"/>
  <c r="AP31" i="1" s="1"/>
  <c r="Y9" i="1"/>
  <c r="Y10" i="1"/>
  <c r="Y11" i="1"/>
  <c r="Y12" i="1"/>
  <c r="Y13" i="1"/>
  <c r="Y14" i="1"/>
  <c r="Y15" i="1"/>
  <c r="Y16" i="1"/>
  <c r="Y17" i="1"/>
  <c r="Y18" i="1"/>
  <c r="Y19" i="1"/>
  <c r="Z32" i="1"/>
  <c r="W32" i="1" s="1"/>
  <c r="X32" i="1"/>
  <c r="Z33" i="1"/>
  <c r="W33" i="1" s="1"/>
  <c r="X33" i="1"/>
  <c r="Z34" i="1"/>
  <c r="W34" i="1" s="1"/>
  <c r="X34" i="1"/>
  <c r="AC35" i="1"/>
  <c r="Z36" i="1"/>
  <c r="W36" i="1" s="1"/>
  <c r="X36" i="1"/>
  <c r="Z37" i="1"/>
  <c r="W37" i="1" s="1"/>
  <c r="X37" i="1"/>
  <c r="Z38" i="1"/>
  <c r="W38" i="1" s="1"/>
  <c r="X38" i="1"/>
  <c r="Z39" i="1"/>
  <c r="W39" i="1" s="1"/>
  <c r="X39" i="1"/>
  <c r="Z40" i="1"/>
  <c r="W40" i="1" s="1"/>
  <c r="X40" i="1"/>
  <c r="Z41" i="1"/>
  <c r="W41" i="1" s="1"/>
  <c r="X41" i="1"/>
  <c r="Z42" i="1"/>
  <c r="W42" i="1" s="1"/>
  <c r="X42" i="1"/>
  <c r="Z43" i="1"/>
  <c r="W43" i="1" s="1"/>
  <c r="X43" i="1"/>
  <c r="Z44" i="1"/>
  <c r="W44" i="1" s="1"/>
  <c r="X44" i="1"/>
  <c r="Z45" i="1"/>
  <c r="W45" i="1" s="1"/>
  <c r="X45" i="1"/>
  <c r="AK9" i="1" l="1"/>
  <c r="M9" i="1"/>
  <c r="AP9" i="1" s="1"/>
  <c r="P2" i="1"/>
  <c r="AC9" i="1"/>
  <c r="P4" i="1" s="1"/>
  <c r="S5" i="1" l="1"/>
  <c r="P5" i="1"/>
  <c r="AQ9" i="1"/>
  <c r="AR9" i="1"/>
  <c r="AK10" i="1"/>
  <c r="AG9" i="1" l="1"/>
  <c r="L9" i="1" s="1"/>
  <c r="N9" i="1" s="1"/>
  <c r="AQ10" i="1"/>
  <c r="AR10" i="1"/>
  <c r="AK11" i="1"/>
  <c r="R6" i="1"/>
  <c r="R7" i="1" s="1"/>
  <c r="S6" i="1"/>
  <c r="S7" i="1" s="1"/>
  <c r="T6" i="1" l="1"/>
  <c r="T7" i="1" s="1"/>
  <c r="U6" i="1" s="1"/>
  <c r="U7" i="1" s="1"/>
  <c r="AQ11" i="1"/>
  <c r="AG11" i="1" s="1"/>
  <c r="L11" i="1" s="1"/>
  <c r="N11" i="1" s="1"/>
  <c r="AR11" i="1"/>
  <c r="AK12" i="1"/>
  <c r="AG10" i="1"/>
  <c r="L10" i="1" s="1"/>
  <c r="N10" i="1" s="1"/>
  <c r="AQ12" i="1" l="1"/>
  <c r="AR12" i="1"/>
  <c r="AK13" i="1"/>
  <c r="T10" i="1"/>
  <c r="T9" i="1"/>
  <c r="U9" i="1"/>
  <c r="P6" i="1"/>
  <c r="AQ13" i="1" l="1"/>
  <c r="AR13" i="1"/>
  <c r="AK14" i="1"/>
  <c r="AG12" i="1"/>
  <c r="L12" i="1" s="1"/>
  <c r="N12" i="1" s="1"/>
  <c r="T11" i="1" l="1"/>
  <c r="V10" i="1"/>
  <c r="S10" i="1" s="1"/>
  <c r="U10" i="1"/>
  <c r="U11" i="1"/>
  <c r="V9" i="1"/>
  <c r="S9" i="1" s="1"/>
  <c r="P9" i="1" s="1"/>
  <c r="AQ14" i="1"/>
  <c r="AG14" i="1" s="1"/>
  <c r="L14" i="1" s="1"/>
  <c r="N14" i="1" s="1"/>
  <c r="AR14" i="1"/>
  <c r="AK15" i="1"/>
  <c r="AG13" i="1"/>
  <c r="L13" i="1" s="1"/>
  <c r="N13" i="1" s="1"/>
  <c r="AQ15" i="1" l="1"/>
  <c r="AR15" i="1"/>
  <c r="AK16" i="1"/>
  <c r="U12" i="1"/>
  <c r="T13" i="1"/>
  <c r="V11" i="1"/>
  <c r="S11" i="1" s="1"/>
  <c r="T12" i="1"/>
  <c r="AQ16" i="1" l="1"/>
  <c r="AR16" i="1"/>
  <c r="AK17" i="1"/>
  <c r="AG15" i="1"/>
  <c r="L15" i="1" s="1"/>
  <c r="N15" i="1" s="1"/>
  <c r="T14" i="1" l="1"/>
  <c r="V12" i="1"/>
  <c r="S12" i="1" s="1"/>
  <c r="U13" i="1"/>
  <c r="AQ17" i="1"/>
  <c r="AR17" i="1"/>
  <c r="AK18" i="1"/>
  <c r="AG16" i="1"/>
  <c r="L16" i="1" s="1"/>
  <c r="N16" i="1" s="1"/>
  <c r="V13" i="1" s="1"/>
  <c r="S13" i="1" s="1"/>
  <c r="AG17" i="1" l="1"/>
  <c r="L17" i="1" s="1"/>
  <c r="N17" i="1" s="1"/>
  <c r="AQ18" i="1"/>
  <c r="AG18" i="1" s="1"/>
  <c r="L18" i="1" s="1"/>
  <c r="N18" i="1" s="1"/>
  <c r="T17" i="1" s="1"/>
  <c r="AR18" i="1"/>
  <c r="AK19" i="1"/>
  <c r="V14" i="1"/>
  <c r="S14" i="1" s="1"/>
  <c r="U15" i="1"/>
  <c r="V15" i="1"/>
  <c r="S15" i="1" s="1"/>
  <c r="T16" i="1"/>
  <c r="U14" i="1"/>
  <c r="T15" i="1"/>
  <c r="AQ19" i="1" l="1"/>
  <c r="AR19" i="1"/>
  <c r="AK20" i="1"/>
  <c r="U16" i="1"/>
  <c r="AR20" i="1" l="1"/>
  <c r="AQ20" i="1"/>
  <c r="AG20" i="1" s="1"/>
  <c r="L20" i="1" s="1"/>
  <c r="N20" i="1" s="1"/>
  <c r="AK21" i="1"/>
  <c r="AG19" i="1"/>
  <c r="L19" i="1" s="1"/>
  <c r="N19" i="1" s="1"/>
  <c r="T19" i="1" l="1"/>
  <c r="T18" i="1"/>
  <c r="U17" i="1"/>
  <c r="U18" i="1"/>
  <c r="V16" i="1"/>
  <c r="S16" i="1" s="1"/>
  <c r="V17" i="1"/>
  <c r="S17" i="1" s="1"/>
  <c r="AR21" i="1"/>
  <c r="AQ21" i="1"/>
  <c r="AK22" i="1"/>
  <c r="AR22" i="1" l="1"/>
  <c r="AQ22" i="1"/>
  <c r="AK23" i="1"/>
  <c r="AG21" i="1"/>
  <c r="L21" i="1" s="1"/>
  <c r="N21" i="1" s="1"/>
  <c r="AR23" i="1" l="1"/>
  <c r="AQ23" i="1"/>
  <c r="AG23" i="1" s="1"/>
  <c r="L23" i="1" s="1"/>
  <c r="N23" i="1" s="1"/>
  <c r="AK24" i="1"/>
  <c r="V18" i="1"/>
  <c r="S18" i="1" s="1"/>
  <c r="U19" i="1"/>
  <c r="T20" i="1"/>
  <c r="AG22" i="1"/>
  <c r="L22" i="1" s="1"/>
  <c r="N22" i="1" s="1"/>
  <c r="V19" i="1" s="1"/>
  <c r="S19" i="1" s="1"/>
  <c r="U20" i="1" l="1"/>
  <c r="U21" i="1"/>
  <c r="T22" i="1"/>
  <c r="V20" i="1"/>
  <c r="S20" i="1" s="1"/>
  <c r="T21" i="1"/>
  <c r="AR24" i="1"/>
  <c r="AQ24" i="1"/>
  <c r="AK25" i="1"/>
  <c r="AG24" i="1" l="1"/>
  <c r="L24" i="1" s="1"/>
  <c r="N24" i="1" s="1"/>
  <c r="V21" i="1"/>
  <c r="S21" i="1" s="1"/>
  <c r="U22" i="1"/>
  <c r="T23" i="1"/>
  <c r="AR25" i="1"/>
  <c r="AQ25" i="1"/>
  <c r="AG25" i="1" s="1"/>
  <c r="L25" i="1" s="1"/>
  <c r="N25" i="1" s="1"/>
  <c r="AK26" i="1"/>
  <c r="V22" i="1" l="1"/>
  <c r="S22" i="1" s="1"/>
  <c r="U23" i="1"/>
  <c r="AR26" i="1"/>
  <c r="AQ26" i="1"/>
  <c r="AG26" i="1" s="1"/>
  <c r="L26" i="1" s="1"/>
  <c r="N26" i="1" s="1"/>
  <c r="AK27" i="1"/>
  <c r="T24" i="1"/>
  <c r="V23" i="1" l="1"/>
  <c r="S23" i="1" s="1"/>
  <c r="AR27" i="1"/>
  <c r="AQ27" i="1"/>
  <c r="AK28" i="1"/>
  <c r="U24" i="1"/>
  <c r="T25" i="1"/>
  <c r="AR28" i="1" l="1"/>
  <c r="AQ28" i="1"/>
  <c r="AG28" i="1" s="1"/>
  <c r="L28" i="1" s="1"/>
  <c r="N28" i="1" s="1"/>
  <c r="AK29" i="1"/>
  <c r="AG27" i="1"/>
  <c r="L27" i="1" s="1"/>
  <c r="N27" i="1" s="1"/>
  <c r="T27" i="1" l="1"/>
  <c r="U26" i="1"/>
  <c r="V24" i="1"/>
  <c r="S24" i="1" s="1"/>
  <c r="U25" i="1"/>
  <c r="T26" i="1"/>
  <c r="V25" i="1"/>
  <c r="S25" i="1" s="1"/>
  <c r="AR29" i="1"/>
  <c r="AQ29" i="1"/>
  <c r="AK30" i="1"/>
  <c r="AR30" i="1" l="1"/>
  <c r="AQ30" i="1"/>
  <c r="AK31" i="1"/>
  <c r="AG29" i="1"/>
  <c r="L29" i="1" s="1"/>
  <c r="N29" i="1" s="1"/>
  <c r="AQ31" i="1" l="1"/>
  <c r="AR31" i="1"/>
  <c r="AK32" i="1"/>
  <c r="U27" i="1"/>
  <c r="V26" i="1"/>
  <c r="S26" i="1" s="1"/>
  <c r="T28" i="1"/>
  <c r="AG30" i="1"/>
  <c r="L30" i="1" s="1"/>
  <c r="N30" i="1" s="1"/>
  <c r="V27" i="1" s="1"/>
  <c r="S27" i="1" s="1"/>
  <c r="U28" i="1" l="1"/>
  <c r="T29" i="1"/>
  <c r="AQ32" i="1"/>
  <c r="AG32" i="1" s="1"/>
  <c r="L32" i="1" s="1"/>
  <c r="N32" i="1" s="1"/>
  <c r="AR32" i="1"/>
  <c r="AK33" i="1"/>
  <c r="AG31" i="1"/>
  <c r="L31" i="1" s="1"/>
  <c r="N31" i="1" s="1"/>
  <c r="T30" i="1" s="1"/>
  <c r="AQ33" i="1" l="1"/>
  <c r="AR33" i="1"/>
  <c r="AK34" i="1"/>
  <c r="T31" i="1"/>
  <c r="U29" i="1"/>
  <c r="V29" i="1"/>
  <c r="S29" i="1" s="1"/>
  <c r="V28" i="1"/>
  <c r="S28" i="1" s="1"/>
  <c r="U30" i="1"/>
  <c r="AG33" i="1" l="1"/>
  <c r="L33" i="1" s="1"/>
  <c r="N33" i="1" s="1"/>
  <c r="AQ34" i="1"/>
  <c r="AG34" i="1" s="1"/>
  <c r="L34" i="1" s="1"/>
  <c r="N34" i="1" s="1"/>
  <c r="T33" i="1" s="1"/>
  <c r="AR34" i="1"/>
  <c r="AK35" i="1"/>
  <c r="U32" i="1"/>
  <c r="U31" i="1" l="1"/>
  <c r="T32" i="1"/>
  <c r="V30" i="1"/>
  <c r="S30" i="1" s="1"/>
  <c r="AQ35" i="1"/>
  <c r="AR35" i="1"/>
  <c r="AK36" i="1"/>
  <c r="V31" i="1"/>
  <c r="S31" i="1" s="1"/>
  <c r="AQ36" i="1" l="1"/>
  <c r="AR36" i="1"/>
  <c r="AK37" i="1"/>
  <c r="AG35" i="1"/>
  <c r="L35" i="1" s="1"/>
  <c r="N35" i="1" s="1"/>
  <c r="T34" i="1" l="1"/>
  <c r="U33" i="1"/>
  <c r="V32" i="1"/>
  <c r="S32" i="1" s="1"/>
  <c r="AQ37" i="1"/>
  <c r="AR37" i="1"/>
  <c r="AK38" i="1"/>
  <c r="AG36" i="1"/>
  <c r="L36" i="1" s="1"/>
  <c r="N36" i="1" s="1"/>
  <c r="V33" i="1" l="1"/>
  <c r="S33" i="1" s="1"/>
  <c r="U34" i="1"/>
  <c r="AQ38" i="1"/>
  <c r="AG38" i="1" s="1"/>
  <c r="L38" i="1" s="1"/>
  <c r="N38" i="1" s="1"/>
  <c r="AR38" i="1"/>
  <c r="AK39" i="1"/>
  <c r="AG37" i="1"/>
  <c r="L37" i="1" s="1"/>
  <c r="N37" i="1" s="1"/>
  <c r="T36" i="1" s="1"/>
  <c r="V34" i="1"/>
  <c r="S34" i="1" s="1"/>
  <c r="T35" i="1"/>
  <c r="U35" i="1" l="1"/>
  <c r="AQ39" i="1"/>
  <c r="AR39" i="1"/>
  <c r="AK40" i="1"/>
  <c r="T37" i="1"/>
  <c r="V35" i="1"/>
  <c r="S35" i="1" s="1"/>
  <c r="U36" i="1"/>
  <c r="AG39" i="1" l="1"/>
  <c r="L39" i="1" s="1"/>
  <c r="N39" i="1" s="1"/>
  <c r="AQ40" i="1"/>
  <c r="AR40" i="1"/>
  <c r="AK41" i="1"/>
  <c r="V36" i="1"/>
  <c r="S36" i="1" s="1"/>
  <c r="AG40" i="1" l="1"/>
  <c r="L40" i="1" s="1"/>
  <c r="N40" i="1" s="1"/>
  <c r="T39" i="1" s="1"/>
  <c r="T38" i="1"/>
  <c r="U37" i="1"/>
  <c r="AQ41" i="1"/>
  <c r="AR41" i="1"/>
  <c r="AK42" i="1"/>
  <c r="U38" i="1"/>
  <c r="V37" i="1" l="1"/>
  <c r="S37" i="1" s="1"/>
  <c r="AG41" i="1"/>
  <c r="L41" i="1" s="1"/>
  <c r="N41" i="1" s="1"/>
  <c r="T40" i="1" s="1"/>
  <c r="AQ42" i="1"/>
  <c r="AR42" i="1"/>
  <c r="AK43" i="1"/>
  <c r="V38" i="1"/>
  <c r="S38" i="1" s="1"/>
  <c r="U39" i="1" l="1"/>
  <c r="AQ43" i="1"/>
  <c r="AR43" i="1"/>
  <c r="AK44" i="1"/>
  <c r="AG42" i="1"/>
  <c r="L42" i="1" s="1"/>
  <c r="N42" i="1" s="1"/>
  <c r="T41" i="1" l="1"/>
  <c r="U40" i="1"/>
  <c r="V39" i="1"/>
  <c r="S39" i="1" s="1"/>
  <c r="AQ44" i="1"/>
  <c r="AR44" i="1"/>
  <c r="AK45" i="1"/>
  <c r="AG43" i="1"/>
  <c r="L43" i="1" s="1"/>
  <c r="N43" i="1" s="1"/>
  <c r="V40" i="1" l="1"/>
  <c r="S40" i="1" s="1"/>
  <c r="U41" i="1"/>
  <c r="AQ45" i="1"/>
  <c r="AG45" i="1" s="1"/>
  <c r="L45" i="1" s="1"/>
  <c r="N45" i="1" s="1"/>
  <c r="AR45" i="1"/>
  <c r="AG44" i="1"/>
  <c r="L44" i="1" s="1"/>
  <c r="N44" i="1" s="1"/>
  <c r="T42" i="1"/>
  <c r="V44" i="1" l="1"/>
  <c r="S44" i="1" s="1"/>
  <c r="T44" i="1"/>
  <c r="U44" i="1"/>
  <c r="V45" i="1"/>
  <c r="S45" i="1" s="1"/>
  <c r="T45" i="1"/>
  <c r="U45" i="1"/>
  <c r="P1" i="1"/>
  <c r="U42" i="1"/>
  <c r="T43" i="1"/>
  <c r="V41" i="1"/>
  <c r="S41" i="1" s="1"/>
  <c r="V42" i="1"/>
  <c r="S42" i="1" s="1"/>
  <c r="U43" i="1"/>
  <c r="V43" i="1"/>
  <c r="S4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 Freeman</author>
  </authors>
  <commentList>
    <comment ref="A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Paul Freeman:</t>
        </r>
        <r>
          <rPr>
            <sz val="9"/>
            <color indexed="81"/>
            <rFont val="Tahoma"/>
            <family val="2"/>
          </rPr>
          <t xml:space="preserve">
It is not necessary to enter order of march until list is finished.</t>
        </r>
      </text>
    </comment>
    <comment ref="B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Paul Freeman:</t>
        </r>
        <r>
          <rPr>
            <sz val="9"/>
            <color indexed="81"/>
            <rFont val="Tahoma"/>
            <family val="2"/>
          </rPr>
          <t xml:space="preserve">
 Each BG has to be given a ref No. 
Mixed Units Should use same BG Number On Each Component Line</t>
        </r>
      </text>
    </comment>
    <comment ref="K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Paul Freeman:</t>
        </r>
        <r>
          <rPr>
            <sz val="9"/>
            <color indexed="81"/>
            <rFont val="Tahoma"/>
            <family val="2"/>
          </rPr>
          <t xml:space="preserve">
To Sort:
Select Completed Rows and Columns to this line (Columns A:K) Then Click on Sort.</t>
        </r>
      </text>
    </comment>
  </commentList>
</comments>
</file>

<file path=xl/sharedStrings.xml><?xml version="1.0" encoding="utf-8"?>
<sst xmlns="http://schemas.openxmlformats.org/spreadsheetml/2006/main" count="604" uniqueCount="283">
  <si>
    <t>Notes;</t>
  </si>
  <si>
    <t>Points lookup</t>
  </si>
  <si>
    <t>These are draft points cost intended for test games and approved cometitions - The orginal version is still the official version</t>
  </si>
  <si>
    <t>TroopType</t>
  </si>
  <si>
    <t>Elite</t>
  </si>
  <si>
    <t>Superior</t>
  </si>
  <si>
    <t>Average</t>
  </si>
  <si>
    <t>Poor</t>
  </si>
  <si>
    <t>Fully Armd-Gendarme</t>
  </si>
  <si>
    <t>Fully Armd-Horse#</t>
  </si>
  <si>
    <t>-</t>
  </si>
  <si>
    <t xml:space="preserve">Commanded Shot is costed as 2x Average Muskets and simply acts as an attached token and should be added the same as a Regimental Gun </t>
  </si>
  <si>
    <t>Fully Armd-Dt Horse#</t>
  </si>
  <si>
    <t>Fully Armd-Dragoon#</t>
  </si>
  <si>
    <t>Fully Armd-Cavalier#</t>
  </si>
  <si>
    <t>Fully Armd-Cavalry#</t>
  </si>
  <si>
    <t>n</t>
  </si>
  <si>
    <t>Fully Armd-Camelry#</t>
  </si>
  <si>
    <t>Fully Armd-LH#</t>
  </si>
  <si>
    <t>Fully Armd-HF</t>
  </si>
  <si>
    <t>Fully Armd-Dt Foot</t>
  </si>
  <si>
    <t>Fully Armd-MF</t>
  </si>
  <si>
    <t>Fully Armd-LF</t>
  </si>
  <si>
    <t>The additional points for salvo shot are added automatically in column M.</t>
  </si>
  <si>
    <t>Fully Armd-Warriors</t>
  </si>
  <si>
    <t>Column B "BG#" is used to define mixed units (max 4 ) use the same number for each row in a BG.</t>
  </si>
  <si>
    <t>A BG must have a number in the BG# column to calculate the points values correctly. (e.g. Shot have different values if with pike)</t>
  </si>
  <si>
    <t>Note: BG# is independent from Order of march an underlined number in the BG column indicates it is a Grand BG.</t>
  </si>
  <si>
    <t>How To Sort By Order of March;</t>
  </si>
  <si>
    <t>Hvy Armd-Gendarme</t>
  </si>
  <si>
    <t>It is possible to sort the list by order of march, This is done by selecting all the data entry cells of the main list, i.e. Cell A10:K(##)</t>
  </si>
  <si>
    <t xml:space="preserve">After selting these cells simple click on Sort A-Z and that’s it done.   </t>
  </si>
  <si>
    <t>Rember to enter an Order of march number in every used row and make sure you use the same OOM number for troops in the same BG</t>
  </si>
  <si>
    <t>Detached Shot List</t>
  </si>
  <si>
    <t>Hvy Armd-Horse</t>
  </si>
  <si>
    <t xml:space="preserve">You can also delete the OoM and change BG# numbering then re-sort on the BG# column to produce a detached shot list and - this will re-calculate the points, wrongly, but saves retyping the whole thing. </t>
  </si>
  <si>
    <t>Army:</t>
  </si>
  <si>
    <t>Hvy Armd-Dt Horse</t>
  </si>
  <si>
    <t>Happy Gaming!</t>
  </si>
  <si>
    <t>Paul</t>
  </si>
  <si>
    <t>Hvy Armd-Dragoon</t>
  </si>
  <si>
    <t>Hvy Armd-Cavalier#</t>
  </si>
  <si>
    <t>Hvy Armd-Cavalry</t>
  </si>
  <si>
    <t>Hvy Armd-Camelry</t>
  </si>
  <si>
    <t>V1.1</t>
  </si>
  <si>
    <t>BG count now fixed to add Grand Battles</t>
  </si>
  <si>
    <t>Also now allows sort function</t>
  </si>
  <si>
    <t>Hvy Armd-LH#</t>
  </si>
  <si>
    <t>V1.2</t>
  </si>
  <si>
    <t>new</t>
  </si>
  <si>
    <t>Modified to allow 4 troop types per BG</t>
  </si>
  <si>
    <t>V2.0</t>
  </si>
  <si>
    <t xml:space="preserve">Fully Automatic Points </t>
  </si>
  <si>
    <t>V2.2</t>
  </si>
  <si>
    <t>Bug with mounted pistol sorted.</t>
  </si>
  <si>
    <t>V2.4</t>
  </si>
  <si>
    <t>Hvy Armd-HF</t>
  </si>
  <si>
    <t xml:space="preserve">Portable Defences and Regimental Guns can now be attached to BG without affecting the BG size count. </t>
  </si>
  <si>
    <t>V2.5</t>
  </si>
  <si>
    <t xml:space="preserve">Added More Rows, Territory, Deployment and Initiative.   </t>
  </si>
  <si>
    <t>Moved BG# column in preparation for Detached shot sheet.</t>
  </si>
  <si>
    <t>V2.6</t>
  </si>
  <si>
    <t>Amended Deployment to Reflect Grand Battle Groups more correctly. Order of march number format changes to bold underlined if Grand BG</t>
  </si>
  <si>
    <t>Hvy Armd-Dt Foot</t>
  </si>
  <si>
    <t>Added Book List.  Plus some Formating improvements.</t>
  </si>
  <si>
    <t>V2.7</t>
  </si>
  <si>
    <t>Mob Added, Hvy lance bug fixed from 2.6</t>
  </si>
  <si>
    <t>Print area can now be selected</t>
  </si>
  <si>
    <t>V2.8</t>
  </si>
  <si>
    <t>Formating opened up and sort instructions added.</t>
  </si>
  <si>
    <t>V2.9</t>
  </si>
  <si>
    <t>Hvy Armd-MF</t>
  </si>
  <si>
    <t>Row 46 now included in total Sum, Added Space to name Allies, Made camp choice a dropdown, added instructional comments and other bits of formatting.</t>
  </si>
  <si>
    <t>V3.0</t>
  </si>
  <si>
    <t>Two page sheet for the mega armies! (or for those of us who failing eysight!)</t>
  </si>
  <si>
    <t>V3.03</t>
  </si>
  <si>
    <t>Hvy Armd-LF</t>
  </si>
  <si>
    <t>Hvy Armd-Warriors</t>
  </si>
  <si>
    <r>
      <t>Impact Foot + Bayonet class now selectable in Impact column (</t>
    </r>
    <r>
      <rPr>
        <b/>
        <sz val="10"/>
        <color rgb="FF000000"/>
        <rFont val="Arial"/>
        <family val="2"/>
      </rPr>
      <t>Note previous versions will not cost Impact Ft + Bayonet Shot only BG properly</t>
    </r>
    <r>
      <rPr>
        <sz val="10"/>
        <color rgb="FF000000"/>
        <rFont val="Arial"/>
        <family val="2"/>
      </rPr>
      <t xml:space="preserve">) </t>
    </r>
  </si>
  <si>
    <t>Armoured-Gendarme</t>
  </si>
  <si>
    <t xml:space="preserve">Phone and e-mail cells unlocked </t>
  </si>
  <si>
    <t>V3.04</t>
  </si>
  <si>
    <t>Allies Cell Unlocked - Completely missed this.</t>
  </si>
  <si>
    <t>V3.05</t>
  </si>
  <si>
    <t xml:space="preserve">Battle Wagon + Art and Poor BG Costs corrected </t>
  </si>
  <si>
    <t>Armoured-Horse</t>
  </si>
  <si>
    <t>Detached Units definition added - second sheets now add to same points,  Minor typo corrections</t>
  </si>
  <si>
    <t>Army Date:</t>
  </si>
  <si>
    <t>Detached Units can be marked as such in column K (BG Type).  Doing so prevents the army points being re-calculated for shot without pike factors.</t>
  </si>
  <si>
    <t xml:space="preserve">Tethered Camels now available as Field Fortifications </t>
  </si>
  <si>
    <t>Impact Foot &amp; Heavy Wepon now score correctly</t>
  </si>
  <si>
    <t>Armoured-Dt Horse</t>
  </si>
  <si>
    <t>Armoured-Dragoon</t>
  </si>
  <si>
    <t>?</t>
  </si>
  <si>
    <t>Armoured-Cavalier</t>
  </si>
  <si>
    <t>Armoured-Cavalry</t>
  </si>
  <si>
    <t>Armoured-Camelry</t>
  </si>
  <si>
    <t>Armoured-Elephant</t>
  </si>
  <si>
    <t>Commanders</t>
  </si>
  <si>
    <t>Armoured-LH</t>
  </si>
  <si>
    <t>Armoured-HF</t>
  </si>
  <si>
    <t>Armoured-Dt foot</t>
  </si>
  <si>
    <t>Type</t>
  </si>
  <si>
    <t>Points</t>
  </si>
  <si>
    <t>Armoured-MF</t>
  </si>
  <si>
    <t>Total</t>
  </si>
  <si>
    <t>Armoured-LF</t>
  </si>
  <si>
    <t>Armoured-Warriors</t>
  </si>
  <si>
    <t>Unarmoured-Gendarme</t>
  </si>
  <si>
    <t>Unarmoured-Horse</t>
  </si>
  <si>
    <t>Unarmoured-Dt Horse</t>
  </si>
  <si>
    <t>Unarmoured-Dragoon</t>
  </si>
  <si>
    <t>Unarmoured-Cavalier</t>
  </si>
  <si>
    <t>Unarmoured-Cavalry</t>
  </si>
  <si>
    <t>Unarmoured-Camelry</t>
  </si>
  <si>
    <t>Unarmoured-LH</t>
  </si>
  <si>
    <t>Unarmoured-HF</t>
  </si>
  <si>
    <t>Player/s</t>
  </si>
  <si>
    <t>Unarmoured-Dt Foot</t>
  </si>
  <si>
    <t>Unarmoured-MF</t>
  </si>
  <si>
    <t>Unarmoured-LF</t>
  </si>
  <si>
    <t>Unarmoured-Warriors</t>
  </si>
  <si>
    <t>Unarmoured-Elephant</t>
  </si>
  <si>
    <t>-Elephant</t>
  </si>
  <si>
    <t>Unarmoured-Mob</t>
  </si>
  <si>
    <t>Artillery-Hvy Art</t>
  </si>
  <si>
    <t xml:space="preserve">Book </t>
  </si>
  <si>
    <t>Artillery-Med Art</t>
  </si>
  <si>
    <t>Artillery-Lt Art</t>
  </si>
  <si>
    <t>-CmdShot</t>
  </si>
  <si>
    <t>no weapon</t>
  </si>
  <si>
    <t>-CmdShotArq</t>
  </si>
  <si>
    <t>-Reg Gun</t>
  </si>
  <si>
    <t>-Portable def</t>
  </si>
  <si>
    <t>Battle Wg-Lt Art</t>
  </si>
  <si>
    <t>Battle Wg-</t>
  </si>
  <si>
    <t>Naval</t>
  </si>
  <si>
    <t>CinC</t>
  </si>
  <si>
    <t>Definition</t>
  </si>
  <si>
    <t>Gendarme</t>
  </si>
  <si>
    <t>Mtd</t>
  </si>
  <si>
    <t>Horse</t>
  </si>
  <si>
    <t>Dt Horse</t>
  </si>
  <si>
    <t>Dragoon</t>
  </si>
  <si>
    <t>Foot</t>
  </si>
  <si>
    <t>Cavalier</t>
  </si>
  <si>
    <t>Cavalry</t>
  </si>
  <si>
    <t>LH</t>
  </si>
  <si>
    <t>HF</t>
  </si>
  <si>
    <t>Dt Foot</t>
  </si>
  <si>
    <t>MF</t>
  </si>
  <si>
    <t>LF</t>
  </si>
  <si>
    <t>Warriors</t>
  </si>
  <si>
    <t>Artillery</t>
  </si>
  <si>
    <t>Battle Wg</t>
  </si>
  <si>
    <t>CmdShot</t>
  </si>
  <si>
    <t>Reg Gun</t>
  </si>
  <si>
    <t>Camelry</t>
  </si>
  <si>
    <t>Total BG</t>
  </si>
  <si>
    <t>Elephant</t>
  </si>
  <si>
    <t xml:space="preserve">Naval </t>
  </si>
  <si>
    <t>Mob</t>
  </si>
  <si>
    <t>Portable Def</t>
  </si>
  <si>
    <t>Shooting</t>
  </si>
  <si>
    <t xml:space="preserve">Definition </t>
  </si>
  <si>
    <t>Arquebus</t>
  </si>
  <si>
    <t>Shot</t>
  </si>
  <si>
    <t>Musket</t>
  </si>
  <si>
    <t>Musket'*</t>
  </si>
  <si>
    <t>Carbine</t>
  </si>
  <si>
    <t>Pistol</t>
  </si>
  <si>
    <t>Bow</t>
  </si>
  <si>
    <t>Bow'*</t>
  </si>
  <si>
    <t>xBow</t>
  </si>
  <si>
    <t>Lt Art</t>
  </si>
  <si>
    <t>Club/ Team</t>
  </si>
  <si>
    <t>Med Art</t>
  </si>
  <si>
    <t>Hvy Art</t>
  </si>
  <si>
    <t>Salvo</t>
  </si>
  <si>
    <t>Bombs</t>
  </si>
  <si>
    <t>Sling</t>
  </si>
  <si>
    <t>Javelin</t>
  </si>
  <si>
    <t>Impact</t>
  </si>
  <si>
    <t>Hvy Lance</t>
  </si>
  <si>
    <t>Lt Lance</t>
  </si>
  <si>
    <t>Allies</t>
  </si>
  <si>
    <t>Hvy W</t>
  </si>
  <si>
    <t>Pike</t>
  </si>
  <si>
    <t>Bayonet</t>
  </si>
  <si>
    <t>Impact Mtd</t>
  </si>
  <si>
    <t>Impact Ft.</t>
  </si>
  <si>
    <t>Impact Ft+Bayonet</t>
  </si>
  <si>
    <t>Lt Spear</t>
  </si>
  <si>
    <t>Salvo+Bayonet</t>
  </si>
  <si>
    <t>Spear</t>
  </si>
  <si>
    <t>Melee</t>
  </si>
  <si>
    <t>Sword</t>
  </si>
  <si>
    <t>General</t>
  </si>
  <si>
    <t>Sub</t>
  </si>
  <si>
    <t>Ally</t>
  </si>
  <si>
    <t>Great</t>
  </si>
  <si>
    <t>Field</t>
  </si>
  <si>
    <t>Troop</t>
  </si>
  <si>
    <t>Initiative</t>
  </si>
  <si>
    <t>Naval Units</t>
  </si>
  <si>
    <t>Contact Details</t>
  </si>
  <si>
    <t>Grand BG</t>
  </si>
  <si>
    <t>Phone:</t>
  </si>
  <si>
    <t>e-mail:</t>
  </si>
  <si>
    <t>Fortifications</t>
  </si>
  <si>
    <t>Qty</t>
  </si>
  <si>
    <t>Points ea.</t>
  </si>
  <si>
    <t>Break Point</t>
  </si>
  <si>
    <t>Deploy</t>
  </si>
  <si>
    <t>Initiative +</t>
  </si>
  <si>
    <t>Yes / No</t>
  </si>
  <si>
    <t>Territory Types</t>
  </si>
  <si>
    <t>Field Fortif.</t>
  </si>
  <si>
    <t>Deployment</t>
  </si>
  <si>
    <t>No</t>
  </si>
  <si>
    <t>Fortified Cmp</t>
  </si>
  <si>
    <t>Yes</t>
  </si>
  <si>
    <t>Order of March</t>
  </si>
  <si>
    <t>BG #</t>
  </si>
  <si>
    <t>Troop Name</t>
  </si>
  <si>
    <t>Armour</t>
  </si>
  <si>
    <t>Quality</t>
  </si>
  <si>
    <t xml:space="preserve">Shooting </t>
  </si>
  <si>
    <t>Number of Bases</t>
  </si>
  <si>
    <t>BG Type</t>
  </si>
  <si>
    <t>Points per Base</t>
  </si>
  <si>
    <t>Add Cost</t>
  </si>
  <si>
    <t>Tot.</t>
  </si>
  <si>
    <t>BG Size</t>
  </si>
  <si>
    <t>BG Value</t>
  </si>
  <si>
    <t xml:space="preserve"> Logic</t>
  </si>
  <si>
    <t>2x</t>
  </si>
  <si>
    <t>3x</t>
  </si>
  <si>
    <t>4x</t>
  </si>
  <si>
    <t>SizeLogic</t>
  </si>
  <si>
    <t>Pdef Reg Gun</t>
  </si>
  <si>
    <t>Init Factor</t>
  </si>
  <si>
    <t>Init Value</t>
  </si>
  <si>
    <t>Tot Base cost</t>
  </si>
  <si>
    <t>Shot?</t>
  </si>
  <si>
    <t>Pike-Shot</t>
  </si>
  <si>
    <t>Type cost</t>
  </si>
  <si>
    <t>Add</t>
  </si>
  <si>
    <t>Pike+Shot</t>
  </si>
  <si>
    <t>Cmd Shot</t>
  </si>
  <si>
    <t>Battle wg</t>
  </si>
  <si>
    <t>Detached Shot</t>
  </si>
  <si>
    <t>Dropdown Tables</t>
  </si>
  <si>
    <t>BG_Type</t>
  </si>
  <si>
    <t>Territory</t>
  </si>
  <si>
    <t>Book</t>
  </si>
  <si>
    <t>Fortification</t>
  </si>
  <si>
    <t>Agricultural</t>
  </si>
  <si>
    <t>Wars of Religion</t>
  </si>
  <si>
    <t>Fully Armd</t>
  </si>
  <si>
    <t>ET</t>
  </si>
  <si>
    <t>Hilly</t>
  </si>
  <si>
    <t>Trade &amp; Treachery</t>
  </si>
  <si>
    <t>Teth. Camels</t>
  </si>
  <si>
    <t>Hvy Armd</t>
  </si>
  <si>
    <t>LT</t>
  </si>
  <si>
    <t>Woodland</t>
  </si>
  <si>
    <t>Clash of Empires</t>
  </si>
  <si>
    <t>Armoured</t>
  </si>
  <si>
    <t>Keil</t>
  </si>
  <si>
    <t>Steppes</t>
  </si>
  <si>
    <t>Colonies &amp; Conquest</t>
  </si>
  <si>
    <t>Unarmoured</t>
  </si>
  <si>
    <t>Mountains</t>
  </si>
  <si>
    <t>Duty &amp; Glory</t>
  </si>
  <si>
    <t>Swede Bg</t>
  </si>
  <si>
    <t>Tropical</t>
  </si>
  <si>
    <t>Cities of Gold</t>
  </si>
  <si>
    <t>Detached Unit</t>
  </si>
  <si>
    <t>Desert</t>
  </si>
  <si>
    <t>No</t>
  </si>
  <si>
    <t>V4.8</t>
  </si>
  <si>
    <t xml:space="preserve">Modified points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</si>
</sst>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25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4"/>
      <color rgb="FFFF0000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9"/>
      <color rgb="FFFFFF99"/>
      <name val="Arial"/>
      <family val="2"/>
    </font>
    <font>
      <u/>
      <sz val="10"/>
      <color rgb="FF0000FF"/>
      <name val="Arial"/>
      <family val="2"/>
    </font>
    <font>
      <b/>
      <sz val="14"/>
      <color rgb="FF000000"/>
      <name val="Arial"/>
      <family val="2"/>
    </font>
    <font>
      <sz val="10"/>
      <color rgb="FF800000"/>
      <name val="Arial"/>
      <family val="2"/>
    </font>
    <font>
      <sz val="8"/>
      <color rgb="FFFFFF99"/>
      <name val="Arial"/>
      <family val="2"/>
    </font>
    <font>
      <sz val="9"/>
      <color rgb="FF000000"/>
      <name val="Arial"/>
      <family val="2"/>
    </font>
    <font>
      <sz val="10"/>
      <color rgb="FFFFFF99"/>
      <name val="Arial"/>
      <family val="2"/>
    </font>
    <font>
      <sz val="9"/>
      <color rgb="FFFF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7030A0"/>
      <name val="Arial"/>
      <family val="2"/>
    </font>
    <font>
      <b/>
      <sz val="10"/>
      <color rgb="FF7030A0"/>
      <name val="Arial"/>
      <family val="2"/>
    </font>
    <font>
      <sz val="10"/>
      <color rgb="FF000000"/>
      <name val="Arial"/>
      <family val="2"/>
    </font>
    <font>
      <sz val="9"/>
      <color rgb="FFFFFF9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ECECEC"/>
        <bgColor rgb="FFECECEC"/>
      </patternFill>
    </fill>
    <fill>
      <patternFill patternType="solid">
        <fgColor rgb="FFFFFF00"/>
        <bgColor rgb="FFFFFF00"/>
      </patternFill>
    </fill>
    <fill>
      <patternFill patternType="solid">
        <fgColor rgb="FF800000"/>
        <bgColor rgb="FF800000"/>
      </patternFill>
    </fill>
    <fill>
      <patternFill patternType="solid">
        <fgColor rgb="FFCC99FF"/>
        <bgColor rgb="FFCC99FF"/>
      </patternFill>
    </fill>
    <fill>
      <patternFill patternType="solid">
        <fgColor rgb="FFFFFF99"/>
        <bgColor rgb="FFFFFF99"/>
      </patternFill>
    </fill>
    <fill>
      <patternFill patternType="solid">
        <fgColor rgb="FFC0C0C0"/>
        <bgColor rgb="FFC0C0C0"/>
      </patternFill>
    </fill>
    <fill>
      <patternFill patternType="solid">
        <fgColor rgb="FF808080"/>
        <bgColor rgb="FF808080"/>
      </patternFill>
    </fill>
    <fill>
      <patternFill patternType="solid">
        <fgColor rgb="FF7030A0"/>
        <bgColor rgb="FFFFFF00"/>
      </patternFill>
    </fill>
    <fill>
      <patternFill patternType="solid">
        <fgColor rgb="FF7030A0"/>
        <bgColor indexed="64"/>
      </patternFill>
    </fill>
  </fills>
  <borders count="6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800000"/>
      </left>
      <right/>
      <top style="thick">
        <color rgb="FF800000"/>
      </top>
      <bottom style="thin">
        <color rgb="FF000000"/>
      </bottom>
      <diagonal/>
    </border>
    <border>
      <left style="medium">
        <color rgb="FF800000"/>
      </left>
      <right/>
      <top style="medium">
        <color rgb="FF800000"/>
      </top>
      <bottom style="medium">
        <color rgb="FF800000"/>
      </bottom>
      <diagonal/>
    </border>
    <border>
      <left/>
      <right/>
      <top style="medium">
        <color rgb="FF800000"/>
      </top>
      <bottom style="medium">
        <color rgb="FF800000"/>
      </bottom>
      <diagonal/>
    </border>
    <border>
      <left/>
      <right style="thin">
        <color rgb="FF000000"/>
      </right>
      <top style="medium">
        <color rgb="FF800000"/>
      </top>
      <bottom style="medium">
        <color rgb="FF8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ck">
        <color rgb="FF800000"/>
      </top>
      <bottom/>
      <diagonal/>
    </border>
    <border>
      <left style="medium">
        <color rgb="FF800000"/>
      </left>
      <right/>
      <top style="thick">
        <color rgb="FF800000"/>
      </top>
      <bottom style="medium">
        <color rgb="FF800000"/>
      </bottom>
      <diagonal/>
    </border>
    <border>
      <left/>
      <right style="thick">
        <color rgb="FF800000"/>
      </right>
      <top style="thick">
        <color rgb="FF800000"/>
      </top>
      <bottom style="medium">
        <color rgb="FF800000"/>
      </bottom>
      <diagonal/>
    </border>
    <border>
      <left style="thick">
        <color rgb="FF8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800000"/>
      </left>
      <right/>
      <top style="thin">
        <color rgb="FF800000"/>
      </top>
      <bottom/>
      <diagonal/>
    </border>
    <border>
      <left/>
      <right style="thin">
        <color rgb="FF800000"/>
      </right>
      <top style="thin">
        <color rgb="FF800000"/>
      </top>
      <bottom/>
      <diagonal/>
    </border>
    <border>
      <left style="thin">
        <color rgb="FF800000"/>
      </left>
      <right style="thin">
        <color rgb="FF800000"/>
      </right>
      <top style="thin">
        <color rgb="FF800000"/>
      </top>
      <bottom style="thin">
        <color rgb="FF800000"/>
      </bottom>
      <diagonal/>
    </border>
    <border>
      <left style="thin">
        <color rgb="FF000000"/>
      </left>
      <right style="thin">
        <color rgb="FF800000"/>
      </right>
      <top/>
      <bottom style="thin">
        <color rgb="FF800000"/>
      </bottom>
      <diagonal/>
    </border>
    <border>
      <left style="thin">
        <color rgb="FF800000"/>
      </left>
      <right style="thick">
        <color rgb="FF800000"/>
      </right>
      <top/>
      <bottom style="thin">
        <color rgb="FF800000"/>
      </bottom>
      <diagonal/>
    </border>
    <border>
      <left style="thick">
        <color rgb="FF8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800000"/>
      </left>
      <right/>
      <top style="medium">
        <color rgb="FF800000"/>
      </top>
      <bottom/>
      <diagonal/>
    </border>
    <border>
      <left/>
      <right/>
      <top style="medium">
        <color rgb="FF800000"/>
      </top>
      <bottom/>
      <diagonal/>
    </border>
    <border>
      <left/>
      <right style="medium">
        <color rgb="FF800000"/>
      </right>
      <top style="medium">
        <color rgb="FF8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800000"/>
      </right>
      <top style="thin">
        <color rgb="FF800000"/>
      </top>
      <bottom style="thin">
        <color rgb="FF800000"/>
      </bottom>
      <diagonal/>
    </border>
    <border>
      <left style="thin">
        <color rgb="FF800000"/>
      </left>
      <right style="thick">
        <color rgb="FF800000"/>
      </right>
      <top style="thin">
        <color rgb="FF800000"/>
      </top>
      <bottom style="thin">
        <color rgb="FF800000"/>
      </bottom>
      <diagonal/>
    </border>
    <border>
      <left style="thick">
        <color rgb="FF800000"/>
      </left>
      <right/>
      <top/>
      <bottom/>
      <diagonal/>
    </border>
    <border>
      <left style="medium">
        <color rgb="FF800000"/>
      </left>
      <right/>
      <top style="medium">
        <color rgb="FF800000"/>
      </top>
      <bottom style="medium">
        <color rgb="FF800000"/>
      </bottom>
      <diagonal/>
    </border>
    <border>
      <left/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/>
      <top style="medium">
        <color rgb="FF800000"/>
      </top>
      <bottom style="medium">
        <color rgb="FF000000"/>
      </bottom>
      <diagonal/>
    </border>
    <border>
      <left/>
      <right/>
      <top style="medium">
        <color rgb="FF800000"/>
      </top>
      <bottom style="medium">
        <color rgb="FF800000"/>
      </bottom>
      <diagonal/>
    </border>
    <border>
      <left/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rgb="FF800000"/>
      </bottom>
      <diagonal/>
    </border>
    <border>
      <left/>
      <right/>
      <top/>
      <bottom style="medium">
        <color rgb="FF800000"/>
      </bottom>
      <diagonal/>
    </border>
    <border>
      <left/>
      <right style="thin">
        <color rgb="FF000000"/>
      </right>
      <top/>
      <bottom style="medium">
        <color rgb="FF8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/>
      <diagonal/>
    </border>
    <border>
      <left style="thin">
        <color rgb="FF000000"/>
      </left>
      <right/>
      <top style="thin">
        <color rgb="FF000000"/>
      </top>
      <bottom style="thick">
        <color rgb="FF800000"/>
      </bottom>
      <diagonal/>
    </border>
    <border>
      <left/>
      <right style="thin">
        <color rgb="FF000000"/>
      </right>
      <top style="thin">
        <color rgb="FF000000"/>
      </top>
      <bottom style="thick">
        <color rgb="FF800000"/>
      </bottom>
      <diagonal/>
    </border>
    <border>
      <left/>
      <right style="thick">
        <color rgb="FF8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800000"/>
      </left>
      <right style="thin">
        <color rgb="FF000000"/>
      </right>
      <top style="thick">
        <color rgb="FF8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800000"/>
      </top>
      <bottom style="thin">
        <color rgb="FF000000"/>
      </bottom>
      <diagonal/>
    </border>
    <border>
      <left style="thin">
        <color rgb="FF000000"/>
      </left>
      <right/>
      <top style="thick">
        <color rgb="FF8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ck">
        <color rgb="FF8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ck">
        <color rgb="FF800000"/>
      </top>
      <bottom style="thin">
        <color rgb="FF000000"/>
      </bottom>
      <diagonal/>
    </border>
    <border>
      <left style="thin">
        <color rgb="FF000000"/>
      </left>
      <right style="thick">
        <color rgb="FF800000"/>
      </right>
      <top style="thick">
        <color rgb="FF8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8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800000"/>
      </left>
      <right/>
      <top style="thin">
        <color rgb="FF000000"/>
      </top>
      <bottom style="thick">
        <color rgb="FF8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8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ck">
        <color rgb="FF8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800000"/>
      </bottom>
      <diagonal/>
    </border>
    <border>
      <left style="thin">
        <color rgb="FF000000"/>
      </left>
      <right style="thick">
        <color rgb="FF800000"/>
      </right>
      <top style="thin">
        <color rgb="FF000000"/>
      </top>
      <bottom style="thick">
        <color rgb="FF800000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/>
    <xf numFmtId="0" fontId="4" fillId="0" borderId="0" xfId="0" applyFont="1"/>
    <xf numFmtId="0" fontId="5" fillId="0" borderId="0" xfId="0" applyFont="1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7" fillId="4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7" fillId="4" borderId="9" xfId="0" applyFont="1" applyFill="1" applyBorder="1" applyAlignment="1">
      <alignment horizontal="center" vertical="center" wrapText="1"/>
    </xf>
    <xf numFmtId="0" fontId="1" fillId="0" borderId="11" xfId="0" applyFont="1" applyBorder="1"/>
    <xf numFmtId="0" fontId="7" fillId="4" borderId="5" xfId="0" applyFont="1" applyFill="1" applyBorder="1" applyAlignment="1">
      <alignment horizontal="right" vertical="center"/>
    </xf>
    <xf numFmtId="0" fontId="2" fillId="0" borderId="12" xfId="0" applyFont="1" applyBorder="1" applyAlignment="1">
      <alignment horizontal="right"/>
    </xf>
    <xf numFmtId="0" fontId="2" fillId="3" borderId="1" xfId="0" applyFont="1" applyFill="1" applyBorder="1"/>
    <xf numFmtId="0" fontId="9" fillId="0" borderId="13" xfId="0" applyFont="1" applyBorder="1" applyAlignment="1">
      <alignment horizontal="center"/>
    </xf>
    <xf numFmtId="0" fontId="7" fillId="4" borderId="1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1" fillId="5" borderId="18" xfId="0" applyFont="1" applyFill="1" applyBorder="1"/>
    <xf numFmtId="0" fontId="1" fillId="0" borderId="18" xfId="0" applyFont="1" applyBorder="1"/>
    <xf numFmtId="0" fontId="1" fillId="0" borderId="0" xfId="0" applyFont="1" applyAlignment="1">
      <alignment horizontal="right"/>
    </xf>
    <xf numFmtId="0" fontId="10" fillId="6" borderId="19" xfId="0" applyFont="1" applyFill="1" applyBorder="1"/>
    <xf numFmtId="0" fontId="1" fillId="6" borderId="20" xfId="0" applyFont="1" applyFill="1" applyBorder="1" applyAlignment="1">
      <alignment horizontal="center"/>
    </xf>
    <xf numFmtId="0" fontId="9" fillId="0" borderId="0" xfId="0" applyFont="1"/>
    <xf numFmtId="0" fontId="11" fillId="4" borderId="21" xfId="0" applyFont="1" applyFill="1" applyBorder="1" applyAlignment="1">
      <alignment horizontal="center" vertical="center" wrapText="1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3" fillId="3" borderId="1" xfId="0" applyFont="1" applyFill="1" applyBorder="1"/>
    <xf numFmtId="0" fontId="1" fillId="0" borderId="30" xfId="0" applyFont="1" applyBorder="1"/>
    <xf numFmtId="0" fontId="1" fillId="6" borderId="31" xfId="0" applyFont="1" applyFill="1" applyBorder="1" applyAlignment="1">
      <alignment vertical="top" wrapText="1"/>
    </xf>
    <xf numFmtId="0" fontId="1" fillId="2" borderId="33" xfId="0" applyFont="1" applyFill="1" applyBorder="1" applyAlignment="1">
      <alignment horizontal="right" vertical="top" wrapText="1"/>
    </xf>
    <xf numFmtId="0" fontId="13" fillId="4" borderId="36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2" fillId="0" borderId="37" xfId="0" applyFont="1" applyBorder="1"/>
    <xf numFmtId="0" fontId="12" fillId="7" borderId="9" xfId="0" applyFont="1" applyFill="1" applyBorder="1" applyAlignment="1">
      <alignment horizontal="right"/>
    </xf>
    <xf numFmtId="0" fontId="1" fillId="7" borderId="9" xfId="0" applyFont="1" applyFill="1" applyBorder="1" applyAlignment="1">
      <alignment horizontal="center"/>
    </xf>
    <xf numFmtId="0" fontId="13" fillId="4" borderId="9" xfId="0" applyFont="1" applyFill="1" applyBorder="1"/>
    <xf numFmtId="0" fontId="13" fillId="4" borderId="9" xfId="0" applyFont="1" applyFill="1" applyBorder="1" applyAlignment="1">
      <alignment horizontal="center"/>
    </xf>
    <xf numFmtId="2" fontId="1" fillId="0" borderId="0" xfId="0" applyNumberFormat="1" applyFont="1"/>
    <xf numFmtId="0" fontId="1" fillId="0" borderId="41" xfId="0" applyFont="1" applyBorder="1"/>
    <xf numFmtId="0" fontId="12" fillId="0" borderId="37" xfId="0" applyFont="1" applyBorder="1" applyAlignment="1">
      <alignment horizontal="right"/>
    </xf>
    <xf numFmtId="0" fontId="1" fillId="0" borderId="37" xfId="0" applyFont="1" applyBorder="1" applyAlignment="1">
      <alignment horizontal="center"/>
    </xf>
    <xf numFmtId="0" fontId="13" fillId="4" borderId="10" xfId="0" applyFont="1" applyFill="1" applyBorder="1"/>
    <xf numFmtId="0" fontId="1" fillId="0" borderId="45" xfId="0" applyFont="1" applyBorder="1" applyAlignment="1">
      <alignment horizontal="center"/>
    </xf>
    <xf numFmtId="0" fontId="1" fillId="0" borderId="46" xfId="0" applyFont="1" applyBorder="1"/>
    <xf numFmtId="0" fontId="7" fillId="4" borderId="47" xfId="0" applyFont="1" applyFill="1" applyBorder="1" applyAlignment="1">
      <alignment horizontal="center" vertical="top" wrapText="1"/>
    </xf>
    <xf numFmtId="0" fontId="7" fillId="4" borderId="48" xfId="0" applyFont="1" applyFill="1" applyBorder="1" applyAlignment="1">
      <alignment horizontal="center" vertical="center" wrapText="1"/>
    </xf>
    <xf numFmtId="0" fontId="7" fillId="4" borderId="49" xfId="0" applyFont="1" applyFill="1" applyBorder="1" applyAlignment="1">
      <alignment horizontal="center" vertical="center" wrapText="1"/>
    </xf>
    <xf numFmtId="0" fontId="14" fillId="2" borderId="50" xfId="0" applyFont="1" applyFill="1" applyBorder="1" applyAlignment="1">
      <alignment horizontal="center" vertical="center" wrapText="1"/>
    </xf>
    <xf numFmtId="0" fontId="7" fillId="4" borderId="51" xfId="0" applyFont="1" applyFill="1" applyBorder="1" applyAlignment="1">
      <alignment horizontal="center" vertical="center" wrapText="1"/>
    </xf>
    <xf numFmtId="0" fontId="7" fillId="4" borderId="5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3" xfId="0" applyFont="1" applyBorder="1"/>
    <xf numFmtId="164" fontId="1" fillId="0" borderId="9" xfId="0" applyNumberFormat="1" applyFont="1" applyBorder="1"/>
    <xf numFmtId="0" fontId="1" fillId="0" borderId="54" xfId="0" applyFont="1" applyBorder="1" applyAlignment="1">
      <alignment horizontal="center"/>
    </xf>
    <xf numFmtId="164" fontId="1" fillId="0" borderId="55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64" fontId="1" fillId="0" borderId="0" xfId="0" applyNumberFormat="1" applyFont="1"/>
    <xf numFmtId="0" fontId="1" fillId="0" borderId="55" xfId="0" applyFont="1" applyBorder="1" applyAlignment="1">
      <alignment horizontal="center"/>
    </xf>
    <xf numFmtId="0" fontId="1" fillId="0" borderId="59" xfId="0" applyFont="1" applyBorder="1"/>
    <xf numFmtId="164" fontId="1" fillId="0" borderId="58" xfId="0" applyNumberFormat="1" applyFont="1" applyBorder="1"/>
    <xf numFmtId="0" fontId="1" fillId="0" borderId="60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1" fillId="8" borderId="1" xfId="0" applyFont="1" applyFill="1" applyBorder="1"/>
    <xf numFmtId="0" fontId="1" fillId="0" borderId="21" xfId="0" applyFont="1" applyBorder="1" applyProtection="1">
      <protection locked="0"/>
    </xf>
    <xf numFmtId="0" fontId="15" fillId="0" borderId="9" xfId="0" applyFont="1" applyBorder="1" applyAlignment="1" applyProtection="1">
      <alignment horizontal="right"/>
      <protection locked="0"/>
    </xf>
    <xf numFmtId="0" fontId="16" fillId="0" borderId="27" xfId="0" applyFont="1" applyBorder="1" applyProtection="1">
      <protection locked="0"/>
    </xf>
    <xf numFmtId="0" fontId="15" fillId="0" borderId="46" xfId="0" applyFont="1" applyBorder="1" applyAlignment="1" applyProtection="1">
      <alignment horizontal="right"/>
      <protection locked="0"/>
    </xf>
    <xf numFmtId="0" fontId="15" fillId="0" borderId="56" xfId="0" applyFont="1" applyBorder="1" applyProtection="1">
      <protection locked="0"/>
    </xf>
    <xf numFmtId="0" fontId="16" fillId="0" borderId="56" xfId="0" applyFont="1" applyBorder="1" applyProtection="1">
      <protection locked="0"/>
    </xf>
    <xf numFmtId="0" fontId="15" fillId="0" borderId="56" xfId="0" applyFont="1" applyBorder="1" applyAlignment="1" applyProtection="1">
      <alignment horizontal="right"/>
      <protection locked="0"/>
    </xf>
    <xf numFmtId="0" fontId="16" fillId="0" borderId="46" xfId="0" applyFont="1" applyBorder="1" applyAlignment="1" applyProtection="1">
      <alignment horizontal="right"/>
      <protection locked="0"/>
    </xf>
    <xf numFmtId="0" fontId="16" fillId="0" borderId="56" xfId="0" applyFont="1" applyBorder="1" applyAlignment="1" applyProtection="1">
      <alignment horizontal="right"/>
      <protection locked="0"/>
    </xf>
    <xf numFmtId="0" fontId="16" fillId="0" borderId="46" xfId="0" applyFont="1" applyBorder="1" applyProtection="1">
      <protection locked="0"/>
    </xf>
    <xf numFmtId="0" fontId="1" fillId="0" borderId="9" xfId="0" applyFont="1" applyBorder="1" applyProtection="1">
      <protection locked="0"/>
    </xf>
    <xf numFmtId="0" fontId="1" fillId="0" borderId="25" xfId="0" applyFont="1" applyBorder="1" applyProtection="1">
      <protection locked="0"/>
    </xf>
    <xf numFmtId="0" fontId="1" fillId="0" borderId="57" xfId="0" applyFont="1" applyBorder="1" applyProtection="1">
      <protection locked="0"/>
    </xf>
    <xf numFmtId="0" fontId="1" fillId="0" borderId="58" xfId="0" applyFont="1" applyBorder="1" applyProtection="1">
      <protection locked="0"/>
    </xf>
    <xf numFmtId="0" fontId="1" fillId="2" borderId="32" xfId="0" applyFont="1" applyFill="1" applyBorder="1" applyAlignment="1" applyProtection="1">
      <alignment vertical="top" wrapText="1"/>
      <protection locked="0"/>
    </xf>
    <xf numFmtId="0" fontId="1" fillId="0" borderId="18" xfId="0" applyFont="1" applyBorder="1" applyProtection="1">
      <protection locked="0"/>
    </xf>
    <xf numFmtId="0" fontId="1" fillId="0" borderId="42" xfId="0" applyFont="1" applyBorder="1" applyAlignment="1" applyProtection="1">
      <alignment horizontal="center"/>
      <protection locked="0"/>
    </xf>
    <xf numFmtId="0" fontId="1" fillId="0" borderId="42" xfId="0" applyFont="1" applyBorder="1" applyProtection="1">
      <protection locked="0"/>
    </xf>
    <xf numFmtId="0" fontId="18" fillId="2" borderId="10" xfId="0" applyFont="1" applyFill="1" applyBorder="1" applyProtection="1">
      <protection locked="0"/>
    </xf>
    <xf numFmtId="0" fontId="1" fillId="9" borderId="1" xfId="0" applyFont="1" applyFill="1" applyBorder="1"/>
    <xf numFmtId="0" fontId="19" fillId="0" borderId="0" xfId="0" applyFont="1"/>
    <xf numFmtId="0" fontId="20" fillId="0" borderId="0" xfId="0" applyFont="1"/>
    <xf numFmtId="0" fontId="20" fillId="0" borderId="0" xfId="0" applyFont="1"/>
    <xf numFmtId="0" fontId="1" fillId="10" borderId="0" xfId="0" applyFont="1" applyFill="1"/>
    <xf numFmtId="0" fontId="1" fillId="0" borderId="1" xfId="0" applyFont="1" applyBorder="1"/>
    <xf numFmtId="0" fontId="17" fillId="0" borderId="0" xfId="0" applyFont="1"/>
    <xf numFmtId="0" fontId="21" fillId="0" borderId="56" xfId="0" applyFont="1" applyBorder="1" applyProtection="1">
      <protection locked="0"/>
    </xf>
    <xf numFmtId="14" fontId="1" fillId="10" borderId="0" xfId="0" applyNumberFormat="1" applyFont="1" applyFill="1"/>
    <xf numFmtId="0" fontId="17" fillId="0" borderId="56" xfId="0" applyFont="1" applyBorder="1" applyProtection="1">
      <protection locked="0"/>
    </xf>
    <xf numFmtId="0" fontId="22" fillId="4" borderId="48" xfId="0" applyFont="1" applyFill="1" applyBorder="1" applyAlignment="1">
      <alignment horizontal="center" vertical="center" wrapText="1"/>
    </xf>
    <xf numFmtId="0" fontId="21" fillId="0" borderId="36" xfId="0" applyFont="1" applyBorder="1" applyProtection="1">
      <protection locked="0"/>
    </xf>
    <xf numFmtId="0" fontId="17" fillId="0" borderId="36" xfId="0" applyFont="1" applyBorder="1" applyProtection="1">
      <protection locked="0"/>
    </xf>
    <xf numFmtId="0" fontId="21" fillId="0" borderId="36" xfId="0" applyFont="1" applyBorder="1" applyAlignment="1" applyProtection="1">
      <alignment horizontal="right"/>
      <protection locked="0"/>
    </xf>
    <xf numFmtId="0" fontId="21" fillId="0" borderId="56" xfId="0" applyFont="1" applyBorder="1" applyAlignment="1" applyProtection="1">
      <alignment horizontal="right"/>
      <protection locked="0"/>
    </xf>
    <xf numFmtId="0" fontId="1" fillId="0" borderId="46" xfId="0" applyFont="1" applyBorder="1" applyProtection="1">
      <protection locked="0"/>
    </xf>
    <xf numFmtId="0" fontId="15" fillId="0" borderId="21" xfId="0" applyFont="1" applyBorder="1" applyAlignment="1" applyProtection="1">
      <alignment horizontal="right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3" fillId="4" borderId="38" xfId="0" applyFont="1" applyFill="1" applyBorder="1" applyAlignment="1">
      <alignment horizontal="center"/>
    </xf>
    <xf numFmtId="0" fontId="6" fillId="0" borderId="39" xfId="0" applyFont="1" applyBorder="1"/>
    <xf numFmtId="0" fontId="6" fillId="0" borderId="40" xfId="0" applyFont="1" applyBorder="1"/>
    <xf numFmtId="0" fontId="12" fillId="2" borderId="34" xfId="0" applyFont="1" applyFill="1" applyBorder="1" applyAlignment="1" applyProtection="1">
      <alignment horizontal="left" vertical="top"/>
      <protection locked="0"/>
    </xf>
    <xf numFmtId="0" fontId="6" fillId="0" borderId="35" xfId="0" applyFont="1" applyBorder="1" applyProtection="1">
      <protection locked="0"/>
    </xf>
    <xf numFmtId="0" fontId="18" fillId="0" borderId="43" xfId="0" applyFont="1" applyBorder="1" applyAlignment="1" applyProtection="1">
      <alignment horizontal="center"/>
      <protection locked="0"/>
    </xf>
    <xf numFmtId="0" fontId="6" fillId="0" borderId="44" xfId="0" applyFont="1" applyBorder="1" applyProtection="1"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6" fillId="0" borderId="7" xfId="0" applyFont="1" applyBorder="1" applyProtection="1">
      <protection locked="0"/>
    </xf>
    <xf numFmtId="0" fontId="6" fillId="0" borderId="8" xfId="0" applyFont="1" applyBorder="1" applyProtection="1">
      <protection locked="0"/>
    </xf>
    <xf numFmtId="0" fontId="1" fillId="2" borderId="6" xfId="0" applyFont="1" applyFill="1" applyBorder="1" applyAlignment="1" applyProtection="1">
      <alignment horizontal="left" vertical="top"/>
      <protection locked="0"/>
    </xf>
    <xf numFmtId="0" fontId="17" fillId="2" borderId="25" xfId="0" applyFont="1" applyFill="1" applyBorder="1" applyAlignment="1" applyProtection="1">
      <alignment horizontal="left"/>
      <protection locked="0"/>
    </xf>
    <xf numFmtId="0" fontId="6" fillId="0" borderId="26" xfId="0" applyFont="1" applyBorder="1" applyProtection="1">
      <protection locked="0"/>
    </xf>
    <xf numFmtId="0" fontId="6" fillId="0" borderId="27" xfId="0" applyFont="1" applyBorder="1" applyProtection="1">
      <protection locked="0"/>
    </xf>
    <xf numFmtId="0" fontId="1" fillId="2" borderId="16" xfId="0" applyFont="1" applyFill="1" applyBorder="1" applyAlignment="1" applyProtection="1">
      <alignment horizontal="left"/>
      <protection locked="0"/>
    </xf>
    <xf numFmtId="0" fontId="6" fillId="0" borderId="17" xfId="0" applyFont="1" applyBorder="1" applyProtection="1">
      <protection locked="0"/>
    </xf>
    <xf numFmtId="0" fontId="1" fillId="2" borderId="22" xfId="0" applyFont="1" applyFill="1" applyBorder="1" applyAlignment="1" applyProtection="1">
      <alignment horizontal="left"/>
      <protection locked="0"/>
    </xf>
    <xf numFmtId="0" fontId="6" fillId="0" borderId="23" xfId="0" applyFont="1" applyBorder="1" applyProtection="1">
      <protection locked="0"/>
    </xf>
    <xf numFmtId="0" fontId="6" fillId="0" borderId="24" xfId="0" applyFont="1" applyBorder="1" applyProtection="1">
      <protection locked="0"/>
    </xf>
    <xf numFmtId="0" fontId="1" fillId="2" borderId="22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vertical="top" wrapText="1"/>
    </xf>
    <xf numFmtId="0" fontId="0" fillId="0" borderId="0" xfId="0"/>
    <xf numFmtId="0" fontId="5" fillId="3" borderId="2" xfId="0" applyFont="1" applyFill="1" applyBorder="1" applyAlignment="1">
      <alignment horizontal="left" vertical="top" wrapText="1"/>
    </xf>
    <xf numFmtId="0" fontId="6" fillId="0" borderId="3" xfId="0" applyFont="1" applyBorder="1"/>
    <xf numFmtId="0" fontId="6" fillId="0" borderId="4" xfId="0" applyFont="1" applyBorder="1"/>
  </cellXfs>
  <cellStyles count="1">
    <cellStyle name="Normal" xfId="0" builtinId="0"/>
  </cellStyles>
  <dxfs count="11">
    <dxf>
      <font>
        <b/>
      </font>
      <fill>
        <patternFill patternType="none"/>
      </fill>
      <alignment wrapText="0" shrinkToFit="0"/>
    </dxf>
    <dxf>
      <font>
        <b/>
      </font>
      <fill>
        <patternFill patternType="none"/>
      </fill>
      <alignment wrapText="0" shrinkToFit="0"/>
    </dxf>
    <dxf>
      <font>
        <b/>
      </font>
      <fill>
        <patternFill patternType="none"/>
      </fill>
      <alignment wrapText="0" shrinkToFit="0"/>
    </dxf>
    <dxf>
      <font>
        <b/>
        <u/>
      </font>
      <fill>
        <patternFill patternType="none"/>
      </fill>
      <alignment wrapText="0" shrinkToFit="0"/>
    </dxf>
    <dxf>
      <fill>
        <patternFill patternType="solid">
          <fgColor rgb="FFFFCC00"/>
          <bgColor rgb="FFFFCC00"/>
        </patternFill>
      </fill>
      <alignment wrapText="0" shrinkToFit="0"/>
      <border>
        <left/>
        <right/>
        <top/>
        <bottom style="thin">
          <color rgb="FFFF0000"/>
        </bottom>
      </border>
    </dxf>
    <dxf>
      <fill>
        <patternFill patternType="solid">
          <fgColor rgb="FFFFCC00"/>
          <bgColor rgb="FFFFCC00"/>
        </patternFill>
      </fill>
      <alignment wrapText="0" shrinkToFit="0"/>
      <border>
        <left/>
        <right/>
        <top/>
        <bottom style="thin">
          <color rgb="FFFF0000"/>
        </bottom>
      </border>
    </dxf>
    <dxf>
      <fill>
        <patternFill patternType="solid">
          <fgColor rgb="FFFFCC00"/>
          <bgColor rgb="FFFFCC00"/>
        </patternFill>
      </fill>
      <alignment wrapText="0" shrinkToFit="0"/>
      <border>
        <left/>
        <right/>
        <top/>
        <bottom style="thin">
          <color rgb="FFFF0000"/>
        </bottom>
      </border>
    </dxf>
    <dxf>
      <fill>
        <patternFill patternType="solid">
          <fgColor rgb="FFFFCC00"/>
          <bgColor rgb="FFFFCC00"/>
        </patternFill>
      </fill>
      <alignment wrapText="0" shrinkToFit="0"/>
      <border>
        <left/>
        <right/>
        <top/>
        <bottom style="thin">
          <color rgb="FFFF0000"/>
        </bottom>
      </border>
    </dxf>
    <dxf>
      <fill>
        <patternFill patternType="solid">
          <fgColor rgb="FFFFCC00"/>
          <bgColor rgb="FFFFCC00"/>
        </patternFill>
      </fill>
      <alignment wrapText="0" shrinkToFit="0"/>
      <border>
        <left/>
        <right/>
        <top/>
        <bottom style="thin">
          <color rgb="FFFF0000"/>
        </bottom>
      </border>
    </dxf>
    <dxf>
      <fill>
        <patternFill patternType="solid">
          <fgColor rgb="FFFFCC00"/>
          <bgColor rgb="FFFFCC00"/>
        </patternFill>
      </fill>
      <alignment wrapText="0" shrinkToFit="0"/>
      <border>
        <left/>
        <right/>
        <top/>
        <bottom style="thin">
          <color rgb="FFFF0000"/>
        </bottom>
      </border>
    </dxf>
    <dxf>
      <fill>
        <patternFill patternType="solid">
          <fgColor rgb="FFFFCC00"/>
          <bgColor rgb="FFFFCC00"/>
        </patternFill>
      </fill>
      <alignment wrapText="0" shrinkToFit="0"/>
      <border>
        <left/>
        <right/>
        <top/>
        <bottom style="thin">
          <color rgb="FFFF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295275</xdr:colOff>
      <xdr:row>42</xdr:row>
      <xdr:rowOff>200025</xdr:rowOff>
    </xdr:to>
    <xdr:sp macro="" textlink="">
      <xdr:nvSpPr>
        <xdr:cNvPr id="1029" name="Rectangle 5" hidden="1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295275</xdr:colOff>
      <xdr:row>42</xdr:row>
      <xdr:rowOff>200025</xdr:rowOff>
    </xdr:to>
    <xdr:sp macro="" textlink="">
      <xdr:nvSpPr>
        <xdr:cNvPr id="2" name="AutoShap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295275</xdr:colOff>
      <xdr:row>42</xdr:row>
      <xdr:rowOff>200025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295275</xdr:colOff>
      <xdr:row>42</xdr:row>
      <xdr:rowOff>200025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295275</xdr:colOff>
      <xdr:row>42</xdr:row>
      <xdr:rowOff>200025</xdr:rowOff>
    </xdr:to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BDD6EE"/>
  </sheetPr>
  <dimension ref="A1:BA999"/>
  <sheetViews>
    <sheetView tabSelected="1" zoomScaleNormal="100" workbookViewId="0">
      <pane ySplit="8" topLeftCell="A9" activePane="bottomLeft" state="frozen"/>
      <selection pane="bottomLeft" activeCell="A7" sqref="A7"/>
    </sheetView>
  </sheetViews>
  <sheetFormatPr defaultColWidth="14.42578125" defaultRowHeight="12.75" x14ac:dyDescent="0.2"/>
  <cols>
    <col min="1" max="1" width="9.7109375" customWidth="1"/>
    <col min="2" max="2" width="7.28515625" customWidth="1"/>
    <col min="3" max="3" width="23.85546875" customWidth="1"/>
    <col min="4" max="6" width="12.85546875" customWidth="1"/>
    <col min="7" max="7" width="12.140625" customWidth="1"/>
    <col min="8" max="8" width="10.85546875" customWidth="1"/>
    <col min="9" max="9" width="10" customWidth="1"/>
    <col min="10" max="10" width="8.140625" customWidth="1"/>
    <col min="11" max="11" width="10.42578125" customWidth="1"/>
    <col min="12" max="12" width="7.42578125" customWidth="1"/>
    <col min="13" max="13" width="6.28515625" customWidth="1"/>
    <col min="14" max="14" width="6.140625" customWidth="1"/>
    <col min="15" max="15" width="11.140625" customWidth="1"/>
    <col min="16" max="16" width="9.85546875" customWidth="1"/>
    <col min="17" max="17" width="15.28515625" customWidth="1"/>
    <col min="18" max="29" width="15.28515625" hidden="1" customWidth="1"/>
    <col min="30" max="30" width="29.140625" hidden="1" customWidth="1"/>
    <col min="31" max="42" width="15.28515625" hidden="1" customWidth="1"/>
    <col min="43" max="43" width="20.85546875" hidden="1" customWidth="1"/>
    <col min="44" max="47" width="15.28515625" hidden="1" customWidth="1"/>
    <col min="48" max="50" width="12.42578125" hidden="1" customWidth="1"/>
    <col min="51" max="52" width="15.28515625" hidden="1" customWidth="1"/>
    <col min="53" max="53" width="15.28515625" customWidth="1"/>
  </cols>
  <sheetData>
    <row r="1" spans="1:53" ht="19.5" customHeight="1" x14ac:dyDescent="0.25">
      <c r="A1" s="9" t="s">
        <v>36</v>
      </c>
      <c r="B1" s="115"/>
      <c r="C1" s="113"/>
      <c r="D1" s="113"/>
      <c r="E1" s="114"/>
      <c r="F1" s="11" t="s">
        <v>87</v>
      </c>
      <c r="G1" s="86"/>
      <c r="H1" s="12"/>
      <c r="I1" s="12"/>
      <c r="J1" s="12"/>
      <c r="K1" s="13" t="s">
        <v>98</v>
      </c>
      <c r="L1" s="9" t="s">
        <v>102</v>
      </c>
      <c r="M1" s="9" t="s">
        <v>103</v>
      </c>
      <c r="N1" s="12"/>
      <c r="O1" s="14" t="s">
        <v>105</v>
      </c>
      <c r="P1" s="16" t="e">
        <f>SUM(N9:N45)+(SUM(M2:M5))+(SUM(J6:J7))</f>
        <v>#N/A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</row>
    <row r="2" spans="1:53" ht="12.75" customHeight="1" x14ac:dyDescent="0.25">
      <c r="A2" s="17" t="s">
        <v>117</v>
      </c>
      <c r="B2" s="112"/>
      <c r="C2" s="113"/>
      <c r="D2" s="113"/>
      <c r="E2" s="114"/>
      <c r="F2" s="18" t="s">
        <v>126</v>
      </c>
      <c r="G2" s="119"/>
      <c r="H2" s="120"/>
      <c r="I2" s="6"/>
      <c r="J2" s="6"/>
      <c r="K2" s="19" t="s">
        <v>137</v>
      </c>
      <c r="L2" s="83"/>
      <c r="M2" s="20" t="e">
        <f>IF((K2=""),"",VLOOKUP(L2,General,MATCH(K2,Lookup!$S$139:$V$139,0),FALSE))</f>
        <v>#N/A</v>
      </c>
      <c r="N2" s="21"/>
      <c r="O2" s="22" t="s">
        <v>158</v>
      </c>
      <c r="P2" s="23">
        <f>(COUNTIF(O9:O45,"&gt;0"))-P3</f>
        <v>0</v>
      </c>
      <c r="Q2" s="24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</row>
    <row r="3" spans="1:53" ht="19.5" customHeight="1" x14ac:dyDescent="0.25">
      <c r="A3" s="25" t="s">
        <v>175</v>
      </c>
      <c r="B3" s="121"/>
      <c r="C3" s="122"/>
      <c r="D3" s="122"/>
      <c r="E3" s="123"/>
      <c r="F3" s="18" t="s">
        <v>185</v>
      </c>
      <c r="G3" s="116"/>
      <c r="H3" s="117"/>
      <c r="I3" s="118"/>
      <c r="J3" s="6"/>
      <c r="K3" s="83"/>
      <c r="L3" s="83"/>
      <c r="M3" s="20" t="str">
        <f>IF((K3=""),"",VLOOKUP(L3,General,MATCH(K3,Lookup!$S$139:$V$139,0),FALSE))</f>
        <v/>
      </c>
      <c r="N3" s="21"/>
      <c r="O3" s="26" t="s">
        <v>204</v>
      </c>
      <c r="P3" s="27">
        <f>SUM(AB9:AB45)</f>
        <v>0</v>
      </c>
      <c r="Q3" s="24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</row>
    <row r="4" spans="1:53" ht="22.5" customHeight="1" x14ac:dyDescent="0.25">
      <c r="A4" s="17" t="s">
        <v>205</v>
      </c>
      <c r="B4" s="124"/>
      <c r="C4" s="122"/>
      <c r="D4" s="122"/>
      <c r="E4" s="123"/>
      <c r="F4" s="28" t="e">
        <f>#REF!</f>
        <v>#REF!</v>
      </c>
      <c r="G4" s="3"/>
      <c r="H4" s="3"/>
      <c r="I4" s="3"/>
      <c r="J4" s="3"/>
      <c r="K4" s="83"/>
      <c r="L4" s="83"/>
      <c r="M4" s="20" t="str">
        <f>IF((K4=""),"",VLOOKUP(L4,General,MATCH(K4,Lookup!$S$139:$V$139,0),FALSE))</f>
        <v/>
      </c>
      <c r="N4" s="21"/>
      <c r="O4" s="22" t="s">
        <v>206</v>
      </c>
      <c r="P4" s="23">
        <f>SUM(AC9:AC45)</f>
        <v>0</v>
      </c>
      <c r="Q4" s="24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</row>
    <row r="5" spans="1:53" ht="17.25" customHeight="1" x14ac:dyDescent="0.25">
      <c r="A5" s="29"/>
      <c r="B5" s="30" t="s">
        <v>207</v>
      </c>
      <c r="C5" s="82"/>
      <c r="D5" s="31" t="s">
        <v>208</v>
      </c>
      <c r="E5" s="108"/>
      <c r="F5" s="109"/>
      <c r="G5" s="32" t="s">
        <v>209</v>
      </c>
      <c r="H5" s="33" t="s">
        <v>210</v>
      </c>
      <c r="I5" s="33" t="s">
        <v>211</v>
      </c>
      <c r="J5" s="34" t="s">
        <v>105</v>
      </c>
      <c r="K5" s="83"/>
      <c r="L5" s="83"/>
      <c r="M5" s="20" t="str">
        <f>IF((K5=""),"",VLOOKUP(L5,General,MATCH(K5,Lookup!$S$139:$V$139,0),FALSE))</f>
        <v/>
      </c>
      <c r="N5" s="6"/>
      <c r="O5" s="26" t="s">
        <v>212</v>
      </c>
      <c r="P5" s="27">
        <f>P2+P4</f>
        <v>0</v>
      </c>
      <c r="Q5" s="24"/>
      <c r="R5" s="1" t="s">
        <v>213</v>
      </c>
      <c r="S5" s="1">
        <f>P2+P4</f>
        <v>0</v>
      </c>
      <c r="T5" s="1"/>
      <c r="U5" s="1"/>
      <c r="V5" s="1"/>
      <c r="W5" s="1" t="s">
        <v>203</v>
      </c>
      <c r="X5" s="1" t="s">
        <v>214</v>
      </c>
      <c r="Y5" s="1" t="s">
        <v>137</v>
      </c>
      <c r="Z5" s="1"/>
      <c r="AA5" s="1"/>
      <c r="AB5" s="35" t="s">
        <v>215</v>
      </c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</row>
    <row r="6" spans="1:53" ht="18.75" customHeight="1" x14ac:dyDescent="0.25">
      <c r="A6" s="29"/>
      <c r="B6" s="1"/>
      <c r="C6" s="105" t="s">
        <v>216</v>
      </c>
      <c r="D6" s="106"/>
      <c r="E6" s="106"/>
      <c r="F6" s="107"/>
      <c r="G6" s="36" t="s">
        <v>217</v>
      </c>
      <c r="H6" s="104">
        <v>0</v>
      </c>
      <c r="I6" s="37">
        <f>IF(G6="Teth. Camels",4,3)</f>
        <v>3</v>
      </c>
      <c r="J6" s="37">
        <f>I6*H6</f>
        <v>0</v>
      </c>
      <c r="K6" s="1"/>
      <c r="L6" s="1"/>
      <c r="M6" s="1"/>
      <c r="N6" s="21"/>
      <c r="O6" s="38" t="s">
        <v>218</v>
      </c>
      <c r="P6" s="39" t="str">
        <f>CONCATENATE(R7,"-",S7,"-",T7,"-",U7)</f>
        <v>0-0-0-0</v>
      </c>
      <c r="Q6" s="24"/>
      <c r="R6" s="40">
        <f>S5/4</f>
        <v>0</v>
      </c>
      <c r="S6" s="40">
        <f>(S5-R7)/3</f>
        <v>0</v>
      </c>
      <c r="T6" s="40">
        <f>(S5-(R7+S7))/2</f>
        <v>0</v>
      </c>
      <c r="U6" s="40">
        <f>(S5-(R7+S7+T7))</f>
        <v>0</v>
      </c>
      <c r="V6" s="1"/>
      <c r="W6" s="1">
        <f>SUM(AE9:AE45)</f>
        <v>0</v>
      </c>
      <c r="X6" s="1">
        <f>IF(W6&gt;24,2,IF(W6&gt;=10,1,0))</f>
        <v>0</v>
      </c>
      <c r="Y6" s="1">
        <f>IF(L2="Great",2,IF(L2="Field",1,0))</f>
        <v>0</v>
      </c>
      <c r="Z6" s="1"/>
      <c r="AA6" s="1"/>
      <c r="AB6" s="41" t="s">
        <v>219</v>
      </c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</row>
    <row r="7" spans="1:53" ht="16.5" customHeight="1" x14ac:dyDescent="0.25">
      <c r="A7" s="29"/>
      <c r="B7" s="1"/>
      <c r="C7" s="84"/>
      <c r="D7" s="84"/>
      <c r="E7" s="84"/>
      <c r="F7" s="85"/>
      <c r="G7" s="42" t="s">
        <v>220</v>
      </c>
      <c r="H7" s="110" t="s">
        <v>280</v>
      </c>
      <c r="I7" s="111"/>
      <c r="J7" s="43">
        <f>IF(H7="Yes",24,0)</f>
        <v>0</v>
      </c>
      <c r="K7" s="1"/>
      <c r="L7" s="1"/>
      <c r="M7" s="1"/>
      <c r="N7" s="21"/>
      <c r="O7" s="44" t="s">
        <v>203</v>
      </c>
      <c r="P7" s="45" t="str">
        <f>CONCATENATE("+",X6+Y6)</f>
        <v>+0</v>
      </c>
      <c r="Q7" s="24"/>
      <c r="R7" s="1">
        <f>ROUNDUP(R6,0)</f>
        <v>0</v>
      </c>
      <c r="S7" s="1">
        <f>ROUNDUP(S6,0)</f>
        <v>0</v>
      </c>
      <c r="T7" s="1">
        <f>ROUNDUP(T6,0)</f>
        <v>0</v>
      </c>
      <c r="U7" s="1">
        <f>ROUNDUP(U6,0)</f>
        <v>0</v>
      </c>
      <c r="V7" s="1"/>
      <c r="W7" s="1"/>
      <c r="X7" s="1"/>
      <c r="Y7" s="1"/>
      <c r="Z7" s="1"/>
      <c r="AA7" s="1"/>
      <c r="AB7" s="46" t="s">
        <v>221</v>
      </c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</row>
    <row r="8" spans="1:53" ht="33.75" customHeight="1" x14ac:dyDescent="0.2">
      <c r="A8" s="47" t="s">
        <v>222</v>
      </c>
      <c r="B8" s="48" t="s">
        <v>223</v>
      </c>
      <c r="C8" s="48" t="s">
        <v>224</v>
      </c>
      <c r="D8" s="48" t="s">
        <v>102</v>
      </c>
      <c r="E8" s="48" t="s">
        <v>225</v>
      </c>
      <c r="F8" s="97" t="s">
        <v>226</v>
      </c>
      <c r="G8" s="48" t="s">
        <v>227</v>
      </c>
      <c r="H8" s="48" t="s">
        <v>182</v>
      </c>
      <c r="I8" s="48" t="s">
        <v>195</v>
      </c>
      <c r="J8" s="48" t="s">
        <v>228</v>
      </c>
      <c r="K8" s="49" t="s">
        <v>229</v>
      </c>
      <c r="L8" s="50" t="s">
        <v>230</v>
      </c>
      <c r="M8" s="48" t="s">
        <v>231</v>
      </c>
      <c r="N8" s="48" t="s">
        <v>232</v>
      </c>
      <c r="O8" s="51" t="s">
        <v>233</v>
      </c>
      <c r="P8" s="52" t="s">
        <v>234</v>
      </c>
      <c r="Q8" s="53"/>
      <c r="R8" s="1" t="s">
        <v>235</v>
      </c>
      <c r="S8" s="1" t="s">
        <v>235</v>
      </c>
      <c r="T8" s="1" t="s">
        <v>236</v>
      </c>
      <c r="U8" s="1" t="s">
        <v>237</v>
      </c>
      <c r="V8" s="1" t="s">
        <v>238</v>
      </c>
      <c r="W8" s="1" t="s">
        <v>239</v>
      </c>
      <c r="X8" s="1" t="s">
        <v>236</v>
      </c>
      <c r="Y8" s="1" t="s">
        <v>237</v>
      </c>
      <c r="Z8" s="1" t="s">
        <v>238</v>
      </c>
      <c r="AA8" s="1" t="s">
        <v>240</v>
      </c>
      <c r="AB8" s="1" t="s">
        <v>136</v>
      </c>
      <c r="AC8" s="1" t="s">
        <v>206</v>
      </c>
      <c r="AD8" s="1" t="s">
        <v>241</v>
      </c>
      <c r="AE8" s="1" t="s">
        <v>242</v>
      </c>
      <c r="AF8" s="1"/>
      <c r="AG8" s="1" t="s">
        <v>243</v>
      </c>
      <c r="AH8" s="1" t="s">
        <v>225</v>
      </c>
      <c r="AI8" s="1" t="s">
        <v>138</v>
      </c>
      <c r="AJ8" s="1" t="s">
        <v>244</v>
      </c>
      <c r="AK8" s="1" t="s">
        <v>245</v>
      </c>
      <c r="AL8" s="1" t="s">
        <v>246</v>
      </c>
      <c r="AM8" s="1" t="s">
        <v>163</v>
      </c>
      <c r="AN8" s="1" t="s">
        <v>182</v>
      </c>
      <c r="AO8" s="1" t="s">
        <v>195</v>
      </c>
      <c r="AP8" s="1" t="s">
        <v>247</v>
      </c>
      <c r="AQ8" s="1" t="s">
        <v>248</v>
      </c>
      <c r="AR8" s="1" t="s">
        <v>188</v>
      </c>
      <c r="AS8" s="5" t="s">
        <v>249</v>
      </c>
      <c r="AT8" s="1" t="s">
        <v>250</v>
      </c>
      <c r="AU8" s="1" t="s">
        <v>251</v>
      </c>
      <c r="AV8" s="1"/>
      <c r="AW8" s="1"/>
      <c r="AX8" s="1"/>
      <c r="AY8" s="1"/>
      <c r="AZ8" s="1"/>
      <c r="BA8" s="1"/>
    </row>
    <row r="9" spans="1:53" ht="16.5" customHeight="1" x14ac:dyDescent="0.2">
      <c r="A9" s="69"/>
      <c r="B9" s="69"/>
      <c r="C9" s="98"/>
      <c r="D9" s="98"/>
      <c r="E9" s="98"/>
      <c r="F9" s="98"/>
      <c r="G9" s="99"/>
      <c r="H9" s="98"/>
      <c r="I9" s="98"/>
      <c r="J9" s="100"/>
      <c r="K9" s="70"/>
      <c r="L9" s="54">
        <f t="shared" ref="L9:L45" si="0">AG9</f>
        <v>0</v>
      </c>
      <c r="M9" s="55">
        <f t="shared" ref="M9:M45" si="1">IF(AND(K9="Swede Bg",O9&lt;&gt;""),0,0)</f>
        <v>0</v>
      </c>
      <c r="N9" s="55">
        <f t="shared" ref="N9:N45" si="2">(L9*J9)+M9</f>
        <v>0</v>
      </c>
      <c r="O9" s="56">
        <f t="shared" ref="O9:O45" si="3">IF(B9=B8,"",W9)</f>
        <v>0</v>
      </c>
      <c r="P9" s="57">
        <f t="shared" ref="P9:P45" si="4">IF(B9=B8,"",S9)</f>
        <v>0</v>
      </c>
      <c r="Q9" s="58"/>
      <c r="R9" s="59">
        <f t="shared" ref="R9:R42" si="5">IF((AND(B9=B10,B9=B11,B9=B12)),4,IF(AND(B9=B10,B11=B9),3,IF(B9=B10,2,1)))</f>
        <v>4</v>
      </c>
      <c r="S9" s="60">
        <f t="shared" ref="S9:S42" si="6">IF((AND(B9=B10,B9=B11,B9=B12)),V9,IF(AND(B9=B10,B11=B9),U9,IF(B9=B10,T9,N9)))</f>
        <v>0</v>
      </c>
      <c r="T9" s="61">
        <f t="shared" ref="T9:T45" si="7">N9+N10</f>
        <v>0</v>
      </c>
      <c r="U9" s="61">
        <f t="shared" ref="U9:U45" si="8">N9+N10+N11</f>
        <v>0</v>
      </c>
      <c r="V9" s="61">
        <f t="shared" ref="V9:V45" si="9">N9+N10+N11+N12</f>
        <v>0</v>
      </c>
      <c r="W9" s="59">
        <f t="shared" ref="W9:W42" si="10">IF((AND(B9=B10,B9=B11,B9=B12)),Z9,IF(AND(B9=B10,B11=B9),Y9,IF(B9=B10,X9,(J9-AA9))))</f>
        <v>0</v>
      </c>
      <c r="X9" s="1">
        <f t="shared" ref="X9:X44" si="11">(J9+J10)-(AA9+AA10)</f>
        <v>0</v>
      </c>
      <c r="Y9" s="1">
        <f t="shared" ref="Y9:Y43" si="12">(J9+J10+J11)-(AA9+AA10+AA11)</f>
        <v>0</v>
      </c>
      <c r="Z9" s="1">
        <f t="shared" ref="Z9:Z42" si="13">(J9+J10+J11+J12)-(AA9+AA10+AA11+AA12)</f>
        <v>0</v>
      </c>
      <c r="AA9" s="1">
        <f t="shared" ref="AA9:AA45" si="14">IF(OR(D9="Portable Def",D9="Reg Gun",D9="CmdShot"),J9,0)</f>
        <v>0</v>
      </c>
      <c r="AB9" s="1">
        <f t="shared" ref="AB9:AB45" si="15">IF(D9="Naval",1,0)</f>
        <v>0</v>
      </c>
      <c r="AC9" s="1">
        <f t="shared" ref="AC9:AC45" si="16">IF(O9="",0,IF(O9&gt;12,1,0))</f>
        <v>0</v>
      </c>
      <c r="AD9" s="1">
        <f>IF(D9="",0,VLOOKUP(D9,Lookup!$W$144:$X$165,2,FALSE))</f>
        <v>0</v>
      </c>
      <c r="AE9" s="1">
        <f t="shared" ref="AE9:AE45" si="17">AD9*J9</f>
        <v>0</v>
      </c>
      <c r="AF9" s="1"/>
      <c r="AG9" s="1">
        <f t="shared" ref="AG9:AG45" si="18">SUM(AL9:AU9)</f>
        <v>0</v>
      </c>
      <c r="AH9" s="6" t="str">
        <f t="shared" ref="AH9:AH45" si="19">IF(D9="Naval","Naval",IF(D9="CmdShot","-CmdShot",IF(D9="Artillery",CONCATENATE(D9,"-",G9),IF(AND(D9="Battle Wg",G9="Lt Art"),"Battle Wg-Lt Art",IF(D9="Battle Wg","Battle Wg-",CONCATENATE(E9,"-",D9))))))</f>
        <v>-</v>
      </c>
      <c r="AI9" s="1">
        <f t="shared" ref="AI9:AI45" si="20">IF(ISERROR(VLOOKUP(D9,Definition,2,FALSE)),0,VLOOKUP(D9,Definition,2,FALSE))</f>
        <v>0</v>
      </c>
      <c r="AJ9" s="1" t="str">
        <f>IF(ISERROR(VLOOKUP(G9,Lookup!$J$93:$M$111,4,FALSE)),"NS",VLOOKUP(G9,Lookup!$J$93:$M$111,4,FALSE))</f>
        <v>NS</v>
      </c>
      <c r="AK9" s="1" t="str">
        <f t="shared" ref="AK9:AK42" si="21">IF(O9="",AK8,IF(R9=4,CONCATENATE(AJ9,H9,AJ10,H10,AJ11,H11,AJ12,H12),IF(R9=3,CONCATENATE(AJ9,H9,AJ10,H10,AJ11),IF(R9=2,CONCATENATE(AJ9,H9,AJ10,H10),"one"))))</f>
        <v>NSNSNSNS</v>
      </c>
      <c r="AL9" s="1">
        <f>IF(D9="",0,IF(D9="Portable Def",3,VLOOKUP(AH9,Lookup!$B$3:$F$69,MATCH(F9,Lookup!$B$3:$F$3,0),FALSE)))</f>
        <v>0</v>
      </c>
      <c r="AM9" s="6">
        <f>IF(D9="Naval",0,IF(G9="",0,VLOOKUP(G9,Lookup!$J$93:$L$111,MATCH(AI9,Lookup!$J$93:$L$93,0),FALSE)))</f>
        <v>0</v>
      </c>
      <c r="AN9" s="1">
        <f>IF(H9="",0,VLOOKUP(H9,Lookup!$M$113:$O$128,MATCH(AI9,Lookup!$M$113:$O$113,0),FALSE))</f>
        <v>0</v>
      </c>
      <c r="AO9" s="1">
        <f>(IF(I9="",0,IF(AND(H9="Hvy W",I9="Hvy W"),0,VLOOKUP(I9,Lookup!$P$130:$R$137,MATCH(AI9,Lookup!$M$113:$O$113,0),FALSE))))</f>
        <v>0</v>
      </c>
      <c r="AP9" s="1">
        <f t="shared" ref="AP9:AP45" si="22">IF(M9="Cmd Shot",1,0)</f>
        <v>0</v>
      </c>
      <c r="AQ9" s="1">
        <f t="shared" ref="AQ9:AQ45" si="23">IF(OR(ISERROR(FIND("Pike",AK9)),ISERROR(FIND("Shot",AK9))),0,IF(AJ9="Shot",1,))</f>
        <v>0</v>
      </c>
      <c r="AR9" s="1">
        <f t="shared" ref="AR9:AR45" si="24">IF(K9="Detached Unit",0,IF(AND(ISERROR(FIND("Pike",AK9)),(H9="Bayonet")),2,IF(AND(ISERROR(FIND("Pike",AK9)),(H9="Impact Ft+Bayonet")),2,IF(AND(ISERROR(FIND("Pike",AK9)),(H9="Salvo+Bayonet")),2,0))))</f>
        <v>0</v>
      </c>
      <c r="AS9" s="5">
        <f t="shared" ref="AS9:AS45" si="25">IF(K9="Cmd Shot",14,0)</f>
        <v>0</v>
      </c>
      <c r="AT9" s="1">
        <f>IF(OR(AH9="Battle Wg-",AH9="Battle Wg-Lt Art"),((SUM(AM9:AS9)*2)),0)</f>
        <v>0</v>
      </c>
      <c r="AU9" s="1">
        <f t="shared" ref="AU9:AU45" si="26">IF(AND(K9="Detached Unit",AJ9="Shot"),1,0)</f>
        <v>0</v>
      </c>
      <c r="AV9" s="1"/>
      <c r="AW9" s="1"/>
      <c r="AX9" s="1"/>
      <c r="AY9" s="1"/>
      <c r="AZ9" s="1"/>
      <c r="BA9" s="1"/>
    </row>
    <row r="10" spans="1:53" ht="16.5" customHeight="1" x14ac:dyDescent="0.2">
      <c r="A10" s="71"/>
      <c r="B10" s="71"/>
      <c r="C10" s="72"/>
      <c r="D10" s="94"/>
      <c r="E10" s="94"/>
      <c r="F10" s="94"/>
      <c r="G10" s="94"/>
      <c r="H10" s="96"/>
      <c r="I10" s="96"/>
      <c r="J10" s="101"/>
      <c r="K10" s="73"/>
      <c r="L10" s="54">
        <f t="shared" si="0"/>
        <v>0</v>
      </c>
      <c r="M10" s="55">
        <f t="shared" si="1"/>
        <v>0</v>
      </c>
      <c r="N10" s="55">
        <f t="shared" si="2"/>
        <v>0</v>
      </c>
      <c r="O10" s="56" t="str">
        <f t="shared" si="3"/>
        <v/>
      </c>
      <c r="P10" s="62" t="str">
        <f t="shared" si="4"/>
        <v/>
      </c>
      <c r="Q10" s="58"/>
      <c r="R10" s="59">
        <f t="shared" si="5"/>
        <v>4</v>
      </c>
      <c r="S10" s="60">
        <f t="shared" si="6"/>
        <v>0</v>
      </c>
      <c r="T10" s="61">
        <f t="shared" si="7"/>
        <v>0</v>
      </c>
      <c r="U10" s="61">
        <f t="shared" si="8"/>
        <v>0</v>
      </c>
      <c r="V10" s="61">
        <f t="shared" si="9"/>
        <v>0</v>
      </c>
      <c r="W10" s="59">
        <f t="shared" si="10"/>
        <v>0</v>
      </c>
      <c r="X10" s="1">
        <f t="shared" si="11"/>
        <v>0</v>
      </c>
      <c r="Y10" s="1">
        <f t="shared" si="12"/>
        <v>0</v>
      </c>
      <c r="Z10" s="1">
        <f t="shared" si="13"/>
        <v>0</v>
      </c>
      <c r="AA10" s="6">
        <f t="shared" si="14"/>
        <v>0</v>
      </c>
      <c r="AB10" s="1">
        <f t="shared" si="15"/>
        <v>0</v>
      </c>
      <c r="AC10" s="1">
        <f t="shared" si="16"/>
        <v>0</v>
      </c>
      <c r="AD10" s="1">
        <f>IF(D10="",0,VLOOKUP(D10,Lookup!$W$144:$X$165,2,FALSE))</f>
        <v>0</v>
      </c>
      <c r="AE10" s="1">
        <f t="shared" si="17"/>
        <v>0</v>
      </c>
      <c r="AF10" s="1"/>
      <c r="AG10" s="1">
        <f t="shared" si="18"/>
        <v>0</v>
      </c>
      <c r="AH10" s="6" t="str">
        <f t="shared" si="19"/>
        <v>-</v>
      </c>
      <c r="AI10" s="1">
        <f t="shared" si="20"/>
        <v>0</v>
      </c>
      <c r="AJ10" s="1" t="str">
        <f>IF(ISERROR(VLOOKUP(G10,Lookup!$J$93:$M$111,4,FALSE)),"NS",VLOOKUP(G10,Lookup!$J$93:$M$111,4,FALSE))</f>
        <v>NS</v>
      </c>
      <c r="AK10" s="1" t="str">
        <f t="shared" si="21"/>
        <v>NSNSNSNS</v>
      </c>
      <c r="AL10" s="1">
        <f>IF(D10="",0,IF(D10="Portable Def",3,VLOOKUP(AH10,Lookup!$B$3:$F$69,MATCH(F10,Lookup!$B$3:$F$3,0),FALSE)))</f>
        <v>0</v>
      </c>
      <c r="AM10" s="1">
        <f>IF(D10="Naval",0,IF(G10="",0,VLOOKUP(G10,Lookup!$J$93:$L$111,MATCH(AI10,Lookup!$J$93:$L$93,0),FALSE)))</f>
        <v>0</v>
      </c>
      <c r="AN10" s="1">
        <f>IF(H10="",0,VLOOKUP(H10,Lookup!$M$113:$O$128,MATCH(AI10,Lookup!$M$113:$O$113,0),FALSE))</f>
        <v>0</v>
      </c>
      <c r="AO10" s="1">
        <f>(IF(I10="",0,IF(AND(H10="Hvy W",I10="Hvy W"),0,VLOOKUP(I10,Lookup!$P$130:$R$137,MATCH(AI10,Lookup!$M$113:$O$113,0),FALSE))))</f>
        <v>0</v>
      </c>
      <c r="AP10" s="1">
        <f t="shared" si="22"/>
        <v>0</v>
      </c>
      <c r="AQ10" s="1">
        <f t="shared" si="23"/>
        <v>0</v>
      </c>
      <c r="AR10" s="1">
        <f t="shared" si="24"/>
        <v>0</v>
      </c>
      <c r="AS10" s="5">
        <f t="shared" si="25"/>
        <v>0</v>
      </c>
      <c r="AT10" s="1">
        <f t="shared" ref="AT10:AT45" si="27">IF(OR(AH10="Battle Wg-",AH10="Battle Wg-Lt Art"),(SUM(AM10:AS10)*2),0)</f>
        <v>0</v>
      </c>
      <c r="AU10" s="1">
        <f t="shared" si="26"/>
        <v>0</v>
      </c>
      <c r="AV10" s="1"/>
      <c r="AW10" s="1"/>
      <c r="AX10" s="1"/>
      <c r="AY10" s="1"/>
      <c r="AZ10" s="1"/>
      <c r="BA10" s="1"/>
    </row>
    <row r="11" spans="1:53" ht="16.5" customHeight="1" x14ac:dyDescent="0.2">
      <c r="A11" s="71"/>
      <c r="B11" s="71"/>
      <c r="C11" s="72"/>
      <c r="D11" s="94"/>
      <c r="E11" s="94"/>
      <c r="F11" s="94"/>
      <c r="G11" s="96"/>
      <c r="H11" s="94"/>
      <c r="I11" s="94"/>
      <c r="J11" s="101"/>
      <c r="K11" s="73"/>
      <c r="L11" s="54">
        <f t="shared" si="0"/>
        <v>0</v>
      </c>
      <c r="M11" s="55">
        <f t="shared" si="1"/>
        <v>0</v>
      </c>
      <c r="N11" s="55">
        <f t="shared" si="2"/>
        <v>0</v>
      </c>
      <c r="O11" s="56" t="str">
        <f t="shared" si="3"/>
        <v/>
      </c>
      <c r="P11" s="62" t="str">
        <f t="shared" si="4"/>
        <v/>
      </c>
      <c r="Q11" s="58"/>
      <c r="R11" s="59">
        <f t="shared" si="5"/>
        <v>4</v>
      </c>
      <c r="S11" s="60">
        <f t="shared" si="6"/>
        <v>0</v>
      </c>
      <c r="T11" s="61">
        <f t="shared" si="7"/>
        <v>0</v>
      </c>
      <c r="U11" s="61">
        <f t="shared" si="8"/>
        <v>0</v>
      </c>
      <c r="V11" s="61">
        <f t="shared" si="9"/>
        <v>0</v>
      </c>
      <c r="W11" s="59">
        <f t="shared" si="10"/>
        <v>0</v>
      </c>
      <c r="X11" s="1">
        <f t="shared" si="11"/>
        <v>0</v>
      </c>
      <c r="Y11" s="1">
        <f t="shared" si="12"/>
        <v>0</v>
      </c>
      <c r="Z11" s="1">
        <f t="shared" si="13"/>
        <v>0</v>
      </c>
      <c r="AA11" s="6">
        <f t="shared" si="14"/>
        <v>0</v>
      </c>
      <c r="AB11" s="1">
        <f t="shared" si="15"/>
        <v>0</v>
      </c>
      <c r="AC11" s="1">
        <f t="shared" si="16"/>
        <v>0</v>
      </c>
      <c r="AD11" s="1">
        <f>IF(D11="",0,VLOOKUP(D11,Lookup!$W$144:$X$165,2,FALSE))</f>
        <v>0</v>
      </c>
      <c r="AE11" s="1">
        <f t="shared" si="17"/>
        <v>0</v>
      </c>
      <c r="AF11" s="1"/>
      <c r="AG11" s="1">
        <f t="shared" si="18"/>
        <v>0</v>
      </c>
      <c r="AH11" s="6" t="str">
        <f t="shared" si="19"/>
        <v>-</v>
      </c>
      <c r="AI11" s="1">
        <f t="shared" si="20"/>
        <v>0</v>
      </c>
      <c r="AJ11" s="1" t="str">
        <f>IF(ISERROR(VLOOKUP(G11,Lookup!$J$93:$M$111,4,FALSE)),"NS",VLOOKUP(G11,Lookup!$J$93:$M$111,4,FALSE))</f>
        <v>NS</v>
      </c>
      <c r="AK11" s="1" t="str">
        <f t="shared" si="21"/>
        <v>NSNSNSNS</v>
      </c>
      <c r="AL11" s="1">
        <f>IF(D11="",0,IF(D11="Portable Def",3,VLOOKUP(AH11,Lookup!$B$3:$F$69,MATCH(F11,Lookup!$B$3:$F$3,0),FALSE)))</f>
        <v>0</v>
      </c>
      <c r="AM11" s="1">
        <f>IF(D11="Naval",0,IF(G11="",0,VLOOKUP(G11,Lookup!$J$93:$L$111,MATCH(AI11,Lookup!$J$93:$L$93,0),FALSE)))</f>
        <v>0</v>
      </c>
      <c r="AN11" s="1">
        <f>IF(H11="",0,VLOOKUP(H11,Lookup!$M$113:$O$128,MATCH(AI11,Lookup!$M$113:$O$113,0),FALSE))</f>
        <v>0</v>
      </c>
      <c r="AO11" s="1">
        <f>(IF(I11="",0,IF(AND(H11="Hvy W",I11="Hvy W"),0,VLOOKUP(I11,Lookup!$P$130:$R$137,MATCH(AI11,Lookup!$M$113:$O$113,0),FALSE))))</f>
        <v>0</v>
      </c>
      <c r="AP11" s="1">
        <f t="shared" si="22"/>
        <v>0</v>
      </c>
      <c r="AQ11" s="1">
        <f t="shared" si="23"/>
        <v>0</v>
      </c>
      <c r="AR11" s="1">
        <f t="shared" si="24"/>
        <v>0</v>
      </c>
      <c r="AS11" s="5">
        <f t="shared" si="25"/>
        <v>0</v>
      </c>
      <c r="AT11" s="1">
        <f t="shared" si="27"/>
        <v>0</v>
      </c>
      <c r="AU11" s="1">
        <f t="shared" si="26"/>
        <v>0</v>
      </c>
      <c r="AV11" s="1"/>
      <c r="AW11" s="1"/>
      <c r="AX11" s="1"/>
      <c r="AY11" s="1"/>
      <c r="AZ11" s="1"/>
      <c r="BA11" s="1"/>
    </row>
    <row r="12" spans="1:53" ht="16.5" customHeight="1" x14ac:dyDescent="0.2">
      <c r="A12" s="102"/>
      <c r="B12" s="71"/>
      <c r="C12" s="96"/>
      <c r="D12" s="94"/>
      <c r="E12" s="94"/>
      <c r="F12" s="94"/>
      <c r="G12" s="96"/>
      <c r="H12" s="94"/>
      <c r="I12" s="94"/>
      <c r="J12" s="101"/>
      <c r="K12" s="73"/>
      <c r="L12" s="54">
        <f t="shared" si="0"/>
        <v>0</v>
      </c>
      <c r="M12" s="55">
        <f t="shared" si="1"/>
        <v>0</v>
      </c>
      <c r="N12" s="55">
        <f t="shared" si="2"/>
        <v>0</v>
      </c>
      <c r="O12" s="56" t="str">
        <f t="shared" si="3"/>
        <v/>
      </c>
      <c r="P12" s="62" t="str">
        <f t="shared" si="4"/>
        <v/>
      </c>
      <c r="Q12" s="58"/>
      <c r="R12" s="59">
        <f t="shared" si="5"/>
        <v>4</v>
      </c>
      <c r="S12" s="60">
        <f t="shared" si="6"/>
        <v>0</v>
      </c>
      <c r="T12" s="61">
        <f t="shared" si="7"/>
        <v>0</v>
      </c>
      <c r="U12" s="61">
        <f t="shared" si="8"/>
        <v>0</v>
      </c>
      <c r="V12" s="61">
        <f t="shared" si="9"/>
        <v>0</v>
      </c>
      <c r="W12" s="59">
        <f t="shared" si="10"/>
        <v>0</v>
      </c>
      <c r="X12" s="1">
        <f t="shared" si="11"/>
        <v>0</v>
      </c>
      <c r="Y12" s="1">
        <f t="shared" si="12"/>
        <v>0</v>
      </c>
      <c r="Z12" s="1">
        <f t="shared" si="13"/>
        <v>0</v>
      </c>
      <c r="AA12" s="6">
        <f t="shared" si="14"/>
        <v>0</v>
      </c>
      <c r="AB12" s="1">
        <f t="shared" si="15"/>
        <v>0</v>
      </c>
      <c r="AC12" s="1">
        <f t="shared" si="16"/>
        <v>0</v>
      </c>
      <c r="AD12" s="1">
        <f>IF(D12="",0,VLOOKUP(D12,Lookup!$W$144:$X$165,2,FALSE))</f>
        <v>0</v>
      </c>
      <c r="AE12" s="1">
        <f t="shared" si="17"/>
        <v>0</v>
      </c>
      <c r="AF12" s="1"/>
      <c r="AG12" s="1">
        <f t="shared" si="18"/>
        <v>0</v>
      </c>
      <c r="AH12" s="6" t="str">
        <f t="shared" si="19"/>
        <v>-</v>
      </c>
      <c r="AI12" s="1">
        <f t="shared" si="20"/>
        <v>0</v>
      </c>
      <c r="AJ12" s="1" t="str">
        <f>IF(ISERROR(VLOOKUP(G12,Lookup!$J$93:$M$111,4,FALSE)),"NS",VLOOKUP(G12,Lookup!$J$93:$M$111,4,FALSE))</f>
        <v>NS</v>
      </c>
      <c r="AK12" s="1" t="str">
        <f t="shared" si="21"/>
        <v>NSNSNSNS</v>
      </c>
      <c r="AL12" s="1">
        <f>IF(D12="",0,IF(D12="Portable Def",3,VLOOKUP(AH12,Lookup!$B$3:$F$69,MATCH(F12,Lookup!$B$3:$F$3,0),FALSE)))</f>
        <v>0</v>
      </c>
      <c r="AM12" s="1">
        <f>IF(D12="Naval",0,IF(G12="",0,VLOOKUP(G12,Lookup!$J$93:$L$111,MATCH(AI12,Lookup!$J$93:$L$93,0),FALSE)))</f>
        <v>0</v>
      </c>
      <c r="AN12" s="1">
        <f>IF(H12="",0,VLOOKUP(H12,Lookup!$M$113:$O$128,MATCH(AI12,Lookup!$M$113:$O$113,0),FALSE))</f>
        <v>0</v>
      </c>
      <c r="AO12" s="1">
        <f>(IF(I12="",0,IF(AND(H12="Hvy W",I12="Hvy W"),0,VLOOKUP(I12,Lookup!$P$130:$R$137,MATCH(AI12,Lookup!$M$113:$O$113,0),FALSE))))</f>
        <v>0</v>
      </c>
      <c r="AP12" s="1">
        <f t="shared" si="22"/>
        <v>0</v>
      </c>
      <c r="AQ12" s="1">
        <f t="shared" si="23"/>
        <v>0</v>
      </c>
      <c r="AR12" s="1">
        <f t="shared" si="24"/>
        <v>0</v>
      </c>
      <c r="AS12" s="5">
        <f t="shared" si="25"/>
        <v>0</v>
      </c>
      <c r="AT12" s="1">
        <f t="shared" si="27"/>
        <v>0</v>
      </c>
      <c r="AU12" s="1">
        <f t="shared" si="26"/>
        <v>0</v>
      </c>
      <c r="AV12" s="1"/>
      <c r="AW12" s="1"/>
      <c r="AX12" s="1"/>
      <c r="AY12" s="1"/>
      <c r="AZ12" s="1"/>
      <c r="BA12" s="1"/>
    </row>
    <row r="13" spans="1:53" ht="16.5" customHeight="1" x14ac:dyDescent="0.2">
      <c r="A13" s="71"/>
      <c r="B13" s="71"/>
      <c r="C13" s="94"/>
      <c r="D13" s="94"/>
      <c r="E13" s="94"/>
      <c r="F13" s="94"/>
      <c r="G13" s="94"/>
      <c r="H13" s="96"/>
      <c r="I13" s="94"/>
      <c r="J13" s="101"/>
      <c r="K13" s="73"/>
      <c r="L13" s="54">
        <f t="shared" si="0"/>
        <v>0</v>
      </c>
      <c r="M13" s="55">
        <f t="shared" si="1"/>
        <v>0</v>
      </c>
      <c r="N13" s="55">
        <f t="shared" si="2"/>
        <v>0</v>
      </c>
      <c r="O13" s="56" t="str">
        <f t="shared" si="3"/>
        <v/>
      </c>
      <c r="P13" s="62" t="str">
        <f t="shared" si="4"/>
        <v/>
      </c>
      <c r="Q13" s="58"/>
      <c r="R13" s="59">
        <f t="shared" si="5"/>
        <v>4</v>
      </c>
      <c r="S13" s="60">
        <f t="shared" si="6"/>
        <v>0</v>
      </c>
      <c r="T13" s="61">
        <f t="shared" si="7"/>
        <v>0</v>
      </c>
      <c r="U13" s="61">
        <f t="shared" si="8"/>
        <v>0</v>
      </c>
      <c r="V13" s="61">
        <f t="shared" si="9"/>
        <v>0</v>
      </c>
      <c r="W13" s="59">
        <f t="shared" si="10"/>
        <v>0</v>
      </c>
      <c r="X13" s="1">
        <f t="shared" si="11"/>
        <v>0</v>
      </c>
      <c r="Y13" s="1">
        <f t="shared" si="12"/>
        <v>0</v>
      </c>
      <c r="Z13" s="1">
        <f t="shared" si="13"/>
        <v>0</v>
      </c>
      <c r="AA13" s="6">
        <f t="shared" si="14"/>
        <v>0</v>
      </c>
      <c r="AB13" s="1">
        <f t="shared" si="15"/>
        <v>0</v>
      </c>
      <c r="AC13" s="1">
        <f t="shared" si="16"/>
        <v>0</v>
      </c>
      <c r="AD13" s="1">
        <f>IF(D13="",0,VLOOKUP(D13,Lookup!$W$144:$X$165,2,FALSE))</f>
        <v>0</v>
      </c>
      <c r="AE13" s="1">
        <f t="shared" si="17"/>
        <v>0</v>
      </c>
      <c r="AF13" s="1"/>
      <c r="AG13" s="1">
        <f t="shared" si="18"/>
        <v>0</v>
      </c>
      <c r="AH13" s="6" t="str">
        <f t="shared" si="19"/>
        <v>-</v>
      </c>
      <c r="AI13" s="1">
        <f t="shared" si="20"/>
        <v>0</v>
      </c>
      <c r="AJ13" s="1" t="str">
        <f>IF(ISERROR(VLOOKUP(G13,Lookup!$J$93:$M$111,4,FALSE)),"NS",VLOOKUP(G13,Lookup!$J$93:$M$111,4,FALSE))</f>
        <v>NS</v>
      </c>
      <c r="AK13" s="1" t="str">
        <f t="shared" si="21"/>
        <v>NSNSNSNS</v>
      </c>
      <c r="AL13" s="1">
        <f>IF(D13="",0,IF(D13="Portable Def",3,VLOOKUP(AH13,Lookup!$B$3:$F$69,MATCH(F13,Lookup!$B$3:$F$3,0),FALSE)))</f>
        <v>0</v>
      </c>
      <c r="AM13" s="1">
        <f>IF(D13="Naval",0,IF(G13="",0,VLOOKUP(G13,Lookup!$J$93:$L$111,MATCH(AI13,Lookup!$J$93:$L$93,0),FALSE)))</f>
        <v>0</v>
      </c>
      <c r="AN13" s="1">
        <f>IF(H13="",0,VLOOKUP(H13,Lookup!$M$113:$O$128,MATCH(AI13,Lookup!$M$113:$O$113,0),FALSE))</f>
        <v>0</v>
      </c>
      <c r="AO13" s="1">
        <f>(IF(I13="",0,IF(AND(H13="Hvy W",I13="Hvy W"),0,VLOOKUP(I13,Lookup!$P$130:$R$137,MATCH(AI13,Lookup!$M$113:$O$113,0),FALSE))))</f>
        <v>0</v>
      </c>
      <c r="AP13" s="1">
        <f t="shared" si="22"/>
        <v>0</v>
      </c>
      <c r="AQ13" s="1">
        <f t="shared" si="23"/>
        <v>0</v>
      </c>
      <c r="AR13" s="1">
        <f t="shared" si="24"/>
        <v>0</v>
      </c>
      <c r="AS13" s="5">
        <f t="shared" si="25"/>
        <v>0</v>
      </c>
      <c r="AT13" s="1">
        <f t="shared" si="27"/>
        <v>0</v>
      </c>
      <c r="AU13" s="1">
        <f t="shared" si="26"/>
        <v>0</v>
      </c>
      <c r="AV13" s="1"/>
      <c r="AW13" s="1"/>
      <c r="AX13" s="1"/>
      <c r="AY13" s="1"/>
      <c r="AZ13" s="1"/>
      <c r="BA13" s="1"/>
    </row>
    <row r="14" spans="1:53" ht="16.5" customHeight="1" x14ac:dyDescent="0.2">
      <c r="A14" s="71"/>
      <c r="B14" s="71"/>
      <c r="C14" s="94"/>
      <c r="D14" s="94"/>
      <c r="E14" s="94"/>
      <c r="F14" s="94"/>
      <c r="G14" s="94"/>
      <c r="H14" s="96"/>
      <c r="I14" s="96"/>
      <c r="J14" s="101"/>
      <c r="K14" s="73"/>
      <c r="L14" s="54">
        <f t="shared" si="0"/>
        <v>0</v>
      </c>
      <c r="M14" s="55">
        <f t="shared" si="1"/>
        <v>0</v>
      </c>
      <c r="N14" s="55">
        <f t="shared" si="2"/>
        <v>0</v>
      </c>
      <c r="O14" s="56" t="str">
        <f t="shared" si="3"/>
        <v/>
      </c>
      <c r="P14" s="62" t="str">
        <f t="shared" si="4"/>
        <v/>
      </c>
      <c r="Q14" s="58"/>
      <c r="R14" s="59">
        <f t="shared" si="5"/>
        <v>4</v>
      </c>
      <c r="S14" s="60">
        <f t="shared" si="6"/>
        <v>0</v>
      </c>
      <c r="T14" s="61">
        <f t="shared" si="7"/>
        <v>0</v>
      </c>
      <c r="U14" s="61">
        <f t="shared" si="8"/>
        <v>0</v>
      </c>
      <c r="V14" s="61">
        <f t="shared" si="9"/>
        <v>0</v>
      </c>
      <c r="W14" s="59">
        <f t="shared" si="10"/>
        <v>0</v>
      </c>
      <c r="X14" s="1">
        <f t="shared" si="11"/>
        <v>0</v>
      </c>
      <c r="Y14" s="1">
        <f t="shared" si="12"/>
        <v>0</v>
      </c>
      <c r="Z14" s="1">
        <f t="shared" si="13"/>
        <v>0</v>
      </c>
      <c r="AA14" s="6">
        <f t="shared" si="14"/>
        <v>0</v>
      </c>
      <c r="AB14" s="1">
        <f t="shared" si="15"/>
        <v>0</v>
      </c>
      <c r="AC14" s="1">
        <f t="shared" si="16"/>
        <v>0</v>
      </c>
      <c r="AD14" s="1">
        <f>IF(D14="",0,VLOOKUP(D14,Lookup!$W$144:$X$165,2,FALSE))</f>
        <v>0</v>
      </c>
      <c r="AE14" s="1">
        <f t="shared" si="17"/>
        <v>0</v>
      </c>
      <c r="AF14" s="1"/>
      <c r="AG14" s="1">
        <f t="shared" si="18"/>
        <v>0</v>
      </c>
      <c r="AH14" s="6" t="str">
        <f t="shared" si="19"/>
        <v>-</v>
      </c>
      <c r="AI14" s="1">
        <f t="shared" si="20"/>
        <v>0</v>
      </c>
      <c r="AJ14" s="1" t="str">
        <f>IF(ISERROR(VLOOKUP(G14,Lookup!$J$93:$M$111,4,FALSE)),"NS",VLOOKUP(G14,Lookup!$J$93:$M$111,4,FALSE))</f>
        <v>NS</v>
      </c>
      <c r="AK14" s="1" t="str">
        <f t="shared" si="21"/>
        <v>NSNSNSNS</v>
      </c>
      <c r="AL14" s="1">
        <f>IF(D14="",0,IF(D14="Portable Def",3,VLOOKUP(AH14,Lookup!$B$3:$F$69,MATCH(F14,Lookup!$B$3:$F$3,0),FALSE)))</f>
        <v>0</v>
      </c>
      <c r="AM14" s="1">
        <f>IF(D14="Naval",0,IF(G14="",0,VLOOKUP(G14,Lookup!$J$93:$L$111,MATCH(AI14,Lookup!$J$93:$L$93,0),FALSE)))</f>
        <v>0</v>
      </c>
      <c r="AN14" s="1">
        <f>IF(H14="",0,VLOOKUP(H14,Lookup!$M$113:$O$128,MATCH(AI14,Lookup!$M$113:$O$113,0),FALSE))</f>
        <v>0</v>
      </c>
      <c r="AO14" s="1">
        <f>(IF(I14="",0,IF(AND(H14="Hvy W",I14="Hvy W"),0,VLOOKUP(I14,Lookup!$P$130:$R$137,MATCH(AI14,Lookup!$M$113:$O$113,0),FALSE))))</f>
        <v>0</v>
      </c>
      <c r="AP14" s="1">
        <f t="shared" si="22"/>
        <v>0</v>
      </c>
      <c r="AQ14" s="1">
        <f t="shared" si="23"/>
        <v>0</v>
      </c>
      <c r="AR14" s="1">
        <f t="shared" si="24"/>
        <v>0</v>
      </c>
      <c r="AS14" s="5">
        <f t="shared" si="25"/>
        <v>0</v>
      </c>
      <c r="AT14" s="1">
        <f t="shared" si="27"/>
        <v>0</v>
      </c>
      <c r="AU14" s="1">
        <f t="shared" si="26"/>
        <v>0</v>
      </c>
      <c r="AV14" s="1"/>
      <c r="AW14" s="1"/>
      <c r="AX14" s="1"/>
      <c r="AY14" s="1"/>
      <c r="AZ14" s="1"/>
      <c r="BA14" s="1"/>
    </row>
    <row r="15" spans="1:53" ht="16.5" customHeight="1" x14ac:dyDescent="0.2">
      <c r="A15" s="103"/>
      <c r="B15" s="71"/>
      <c r="C15" s="94"/>
      <c r="D15" s="94"/>
      <c r="E15" s="96"/>
      <c r="F15" s="94"/>
      <c r="G15" s="94"/>
      <c r="H15" s="96"/>
      <c r="I15" s="96"/>
      <c r="J15" s="101"/>
      <c r="K15" s="73"/>
      <c r="L15" s="54">
        <f t="shared" si="0"/>
        <v>0</v>
      </c>
      <c r="M15" s="55">
        <f t="shared" si="1"/>
        <v>0</v>
      </c>
      <c r="N15" s="55">
        <f t="shared" si="2"/>
        <v>0</v>
      </c>
      <c r="O15" s="56" t="str">
        <f t="shared" si="3"/>
        <v/>
      </c>
      <c r="P15" s="62" t="str">
        <f t="shared" si="4"/>
        <v/>
      </c>
      <c r="Q15" s="58"/>
      <c r="R15" s="59">
        <f t="shared" si="5"/>
        <v>4</v>
      </c>
      <c r="S15" s="60">
        <f t="shared" si="6"/>
        <v>0</v>
      </c>
      <c r="T15" s="61">
        <f t="shared" si="7"/>
        <v>0</v>
      </c>
      <c r="U15" s="61">
        <f t="shared" si="8"/>
        <v>0</v>
      </c>
      <c r="V15" s="61">
        <f t="shared" si="9"/>
        <v>0</v>
      </c>
      <c r="W15" s="59">
        <f t="shared" si="10"/>
        <v>0</v>
      </c>
      <c r="X15" s="1">
        <f t="shared" si="11"/>
        <v>0</v>
      </c>
      <c r="Y15" s="1">
        <f t="shared" si="12"/>
        <v>0</v>
      </c>
      <c r="Z15" s="1">
        <f t="shared" si="13"/>
        <v>0</v>
      </c>
      <c r="AA15" s="6">
        <f t="shared" si="14"/>
        <v>0</v>
      </c>
      <c r="AB15" s="1">
        <f t="shared" si="15"/>
        <v>0</v>
      </c>
      <c r="AC15" s="1">
        <f t="shared" si="16"/>
        <v>0</v>
      </c>
      <c r="AD15" s="1">
        <f>IF(D15="",0,VLOOKUP(D15,Lookup!$W$144:$X$165,2,FALSE))</f>
        <v>0</v>
      </c>
      <c r="AE15" s="1">
        <f t="shared" si="17"/>
        <v>0</v>
      </c>
      <c r="AF15" s="1"/>
      <c r="AG15" s="1">
        <f t="shared" si="18"/>
        <v>0</v>
      </c>
      <c r="AH15" s="6" t="str">
        <f t="shared" si="19"/>
        <v>-</v>
      </c>
      <c r="AI15" s="1">
        <f t="shared" si="20"/>
        <v>0</v>
      </c>
      <c r="AJ15" s="1" t="str">
        <f>IF(ISERROR(VLOOKUP(G15,Lookup!$J$93:$M$111,4,FALSE)),"NS",VLOOKUP(G15,Lookup!$J$93:$M$111,4,FALSE))</f>
        <v>NS</v>
      </c>
      <c r="AK15" s="1" t="str">
        <f t="shared" si="21"/>
        <v>NSNSNSNS</v>
      </c>
      <c r="AL15" s="1">
        <f>IF(D15="",0,IF(D15="Portable Def",3,VLOOKUP(AH15,Lookup!$B$3:$F$69,MATCH(F15,Lookup!$B$3:$F$3,0),FALSE)))</f>
        <v>0</v>
      </c>
      <c r="AM15" s="1">
        <f>IF(D15="Naval",0,IF(G15="",0,VLOOKUP(G15,Lookup!$J$93:$L$111,MATCH(AI15,Lookup!$J$93:$L$93,0),FALSE)))</f>
        <v>0</v>
      </c>
      <c r="AN15" s="1">
        <f>IF(H15="",0,VLOOKUP(H15,Lookup!$M$113:$O$128,MATCH(AI15,Lookup!$M$113:$O$113,0),FALSE))</f>
        <v>0</v>
      </c>
      <c r="AO15" s="1">
        <f>(IF(I15="",0,IF(AND(H15="Hvy W",I15="Hvy W"),0,VLOOKUP(I15,Lookup!$P$130:$R$137,MATCH(AI15,Lookup!$M$113:$O$113,0),FALSE))))</f>
        <v>0</v>
      </c>
      <c r="AP15" s="1">
        <f t="shared" si="22"/>
        <v>0</v>
      </c>
      <c r="AQ15" s="1">
        <f t="shared" si="23"/>
        <v>0</v>
      </c>
      <c r="AR15" s="1">
        <f t="shared" si="24"/>
        <v>0</v>
      </c>
      <c r="AS15" s="5">
        <f t="shared" si="25"/>
        <v>0</v>
      </c>
      <c r="AT15" s="1">
        <f t="shared" si="27"/>
        <v>0</v>
      </c>
      <c r="AU15" s="1">
        <f t="shared" si="26"/>
        <v>0</v>
      </c>
      <c r="AV15" s="1"/>
      <c r="AW15" s="1"/>
      <c r="AX15" s="1"/>
      <c r="AY15" s="1"/>
      <c r="AZ15" s="1"/>
      <c r="BA15" s="1"/>
    </row>
    <row r="16" spans="1:53" ht="16.5" customHeight="1" x14ac:dyDescent="0.2">
      <c r="A16" s="68"/>
      <c r="B16" s="71"/>
      <c r="C16" s="72"/>
      <c r="D16" s="72"/>
      <c r="E16" s="72"/>
      <c r="F16" s="72"/>
      <c r="G16" s="72"/>
      <c r="H16" s="73"/>
      <c r="I16" s="73"/>
      <c r="J16" s="74"/>
      <c r="K16" s="73"/>
      <c r="L16" s="54">
        <f t="shared" si="0"/>
        <v>0</v>
      </c>
      <c r="M16" s="55">
        <f t="shared" si="1"/>
        <v>0</v>
      </c>
      <c r="N16" s="55">
        <f t="shared" si="2"/>
        <v>0</v>
      </c>
      <c r="O16" s="56" t="str">
        <f t="shared" si="3"/>
        <v/>
      </c>
      <c r="P16" s="62" t="str">
        <f t="shared" si="4"/>
        <v/>
      </c>
      <c r="Q16" s="58"/>
      <c r="R16" s="59">
        <f t="shared" si="5"/>
        <v>4</v>
      </c>
      <c r="S16" s="60">
        <f t="shared" si="6"/>
        <v>0</v>
      </c>
      <c r="T16" s="61">
        <f t="shared" si="7"/>
        <v>0</v>
      </c>
      <c r="U16" s="61">
        <f t="shared" si="8"/>
        <v>0</v>
      </c>
      <c r="V16" s="61">
        <f t="shared" si="9"/>
        <v>0</v>
      </c>
      <c r="W16" s="59">
        <f t="shared" si="10"/>
        <v>0</v>
      </c>
      <c r="X16" s="1">
        <f t="shared" si="11"/>
        <v>0</v>
      </c>
      <c r="Y16" s="1">
        <f t="shared" si="12"/>
        <v>0</v>
      </c>
      <c r="Z16" s="1">
        <f t="shared" si="13"/>
        <v>0</v>
      </c>
      <c r="AA16" s="6">
        <f t="shared" si="14"/>
        <v>0</v>
      </c>
      <c r="AB16" s="1">
        <f t="shared" si="15"/>
        <v>0</v>
      </c>
      <c r="AC16" s="1">
        <f t="shared" si="16"/>
        <v>0</v>
      </c>
      <c r="AD16" s="1">
        <f>IF(D16="",0,VLOOKUP(D16,Lookup!$W$144:$X$165,2,FALSE))</f>
        <v>0</v>
      </c>
      <c r="AE16" s="1">
        <f t="shared" si="17"/>
        <v>0</v>
      </c>
      <c r="AF16" s="1"/>
      <c r="AG16" s="1">
        <f t="shared" si="18"/>
        <v>0</v>
      </c>
      <c r="AH16" s="6" t="str">
        <f t="shared" si="19"/>
        <v>-</v>
      </c>
      <c r="AI16" s="1">
        <f t="shared" si="20"/>
        <v>0</v>
      </c>
      <c r="AJ16" s="1" t="str">
        <f>IF(ISERROR(VLOOKUP(G16,Lookup!$J$93:$M$111,4,FALSE)),"NS",VLOOKUP(G16,Lookup!$J$93:$M$111,4,FALSE))</f>
        <v>NS</v>
      </c>
      <c r="AK16" s="1" t="str">
        <f t="shared" si="21"/>
        <v>NSNSNSNS</v>
      </c>
      <c r="AL16" s="1">
        <f>IF(D16="",0,IF(D16="Portable Def",3,VLOOKUP(AH16,Lookup!$B$3:$F$69,MATCH(F16,Lookup!$B$3:$F$3,0),FALSE)))</f>
        <v>0</v>
      </c>
      <c r="AM16" s="1">
        <f>IF(D16="Naval",0,IF(G16="",0,VLOOKUP(G16,Lookup!$J$93:$L$111,MATCH(AI16,Lookup!$J$93:$L$93,0),FALSE)))</f>
        <v>0</v>
      </c>
      <c r="AN16" s="1">
        <f>IF(H16="",0,VLOOKUP(H16,Lookup!$M$113:$O$128,MATCH(AI16,Lookup!$M$113:$O$113,0),FALSE))</f>
        <v>0</v>
      </c>
      <c r="AO16" s="1">
        <f>(IF(I16="",0,IF(AND(H16="Hvy W",I16="Hvy W"),0,VLOOKUP(I16,Lookup!$P$130:$R$137,MATCH(AI16,Lookup!$M$113:$O$113,0),FALSE))))</f>
        <v>0</v>
      </c>
      <c r="AP16" s="1">
        <f t="shared" si="22"/>
        <v>0</v>
      </c>
      <c r="AQ16" s="1">
        <f t="shared" si="23"/>
        <v>0</v>
      </c>
      <c r="AR16" s="1">
        <f t="shared" si="24"/>
        <v>0</v>
      </c>
      <c r="AS16" s="5">
        <f t="shared" si="25"/>
        <v>0</v>
      </c>
      <c r="AT16" s="1">
        <f t="shared" si="27"/>
        <v>0</v>
      </c>
      <c r="AU16" s="1">
        <f t="shared" si="26"/>
        <v>0</v>
      </c>
      <c r="AV16" s="1"/>
      <c r="AW16" s="1"/>
      <c r="AX16" s="1"/>
      <c r="AY16" s="1"/>
      <c r="AZ16" s="1"/>
      <c r="BA16" s="1"/>
    </row>
    <row r="17" spans="1:53" ht="16.5" customHeight="1" x14ac:dyDescent="0.2">
      <c r="A17" s="68"/>
      <c r="B17" s="71"/>
      <c r="C17" s="72"/>
      <c r="D17" s="72"/>
      <c r="E17" s="72"/>
      <c r="F17" s="72"/>
      <c r="G17" s="72"/>
      <c r="H17" s="73"/>
      <c r="I17" s="73"/>
      <c r="J17" s="74"/>
      <c r="K17" s="73"/>
      <c r="L17" s="54">
        <f t="shared" si="0"/>
        <v>0</v>
      </c>
      <c r="M17" s="55">
        <f t="shared" si="1"/>
        <v>0</v>
      </c>
      <c r="N17" s="55">
        <f t="shared" si="2"/>
        <v>0</v>
      </c>
      <c r="O17" s="56" t="str">
        <f t="shared" si="3"/>
        <v/>
      </c>
      <c r="P17" s="62" t="str">
        <f t="shared" si="4"/>
        <v/>
      </c>
      <c r="Q17" s="58"/>
      <c r="R17" s="59">
        <f t="shared" si="5"/>
        <v>4</v>
      </c>
      <c r="S17" s="60">
        <f t="shared" si="6"/>
        <v>0</v>
      </c>
      <c r="T17" s="61">
        <f t="shared" si="7"/>
        <v>0</v>
      </c>
      <c r="U17" s="61">
        <f t="shared" si="8"/>
        <v>0</v>
      </c>
      <c r="V17" s="61">
        <f t="shared" si="9"/>
        <v>0</v>
      </c>
      <c r="W17" s="59">
        <f t="shared" si="10"/>
        <v>0</v>
      </c>
      <c r="X17" s="1">
        <f t="shared" si="11"/>
        <v>0</v>
      </c>
      <c r="Y17" s="1">
        <f t="shared" si="12"/>
        <v>0</v>
      </c>
      <c r="Z17" s="1">
        <f t="shared" si="13"/>
        <v>0</v>
      </c>
      <c r="AA17" s="6">
        <f t="shared" si="14"/>
        <v>0</v>
      </c>
      <c r="AB17" s="1">
        <f t="shared" si="15"/>
        <v>0</v>
      </c>
      <c r="AC17" s="1">
        <f t="shared" si="16"/>
        <v>0</v>
      </c>
      <c r="AD17" s="1">
        <f>IF(D17="",0,VLOOKUP(D17,Lookup!$W$144:$X$165,2,FALSE))</f>
        <v>0</v>
      </c>
      <c r="AE17" s="1">
        <f t="shared" si="17"/>
        <v>0</v>
      </c>
      <c r="AF17" s="1"/>
      <c r="AG17" s="1">
        <f t="shared" si="18"/>
        <v>0</v>
      </c>
      <c r="AH17" s="6" t="str">
        <f t="shared" si="19"/>
        <v>-</v>
      </c>
      <c r="AI17" s="1">
        <f t="shared" si="20"/>
        <v>0</v>
      </c>
      <c r="AJ17" s="1" t="str">
        <f>IF(ISERROR(VLOOKUP(G17,Lookup!$J$93:$M$111,4,FALSE)),"NS",VLOOKUP(G17,Lookup!$J$93:$M$111,4,FALSE))</f>
        <v>NS</v>
      </c>
      <c r="AK17" s="1" t="str">
        <f t="shared" si="21"/>
        <v>NSNSNSNS</v>
      </c>
      <c r="AL17" s="1">
        <f>IF(D17="",0,IF(D17="Portable Def",3,VLOOKUP(AH17,Lookup!$B$3:$F$69,MATCH(F17,Lookup!$B$3:$F$3,0),FALSE)))</f>
        <v>0</v>
      </c>
      <c r="AM17" s="1">
        <f>IF(D17="Naval",0,IF(G17="",0,VLOOKUP(G17,Lookup!$J$93:$L$111,MATCH(AI17,Lookup!$J$93:$L$93,0),FALSE)))</f>
        <v>0</v>
      </c>
      <c r="AN17" s="1">
        <f>IF(H17="",0,VLOOKUP(H17,Lookup!$M$113:$O$128,MATCH(AI17,Lookup!$M$113:$O$113,0),FALSE))</f>
        <v>0</v>
      </c>
      <c r="AO17" s="1">
        <f>(IF(I17="",0,IF(AND(H17="Hvy W",I17="Hvy W"),0,VLOOKUP(I17,Lookup!$P$130:$R$137,MATCH(AI17,Lookup!$M$113:$O$113,0),FALSE))))</f>
        <v>0</v>
      </c>
      <c r="AP17" s="1">
        <f t="shared" si="22"/>
        <v>0</v>
      </c>
      <c r="AQ17" s="1">
        <f t="shared" si="23"/>
        <v>0</v>
      </c>
      <c r="AR17" s="1">
        <f t="shared" si="24"/>
        <v>0</v>
      </c>
      <c r="AS17" s="5">
        <f t="shared" si="25"/>
        <v>0</v>
      </c>
      <c r="AT17" s="1">
        <f t="shared" si="27"/>
        <v>0</v>
      </c>
      <c r="AU17" s="1">
        <f t="shared" si="26"/>
        <v>0</v>
      </c>
      <c r="AV17" s="1"/>
      <c r="AW17" s="1"/>
      <c r="AX17" s="1"/>
      <c r="AY17" s="1"/>
      <c r="AZ17" s="1"/>
      <c r="BA17" s="1"/>
    </row>
    <row r="18" spans="1:53" ht="16.5" customHeight="1" x14ac:dyDescent="0.2">
      <c r="A18" s="68"/>
      <c r="B18" s="71"/>
      <c r="C18" s="73"/>
      <c r="D18" s="72"/>
      <c r="E18" s="72"/>
      <c r="F18" s="72"/>
      <c r="G18" s="73"/>
      <c r="H18" s="72"/>
      <c r="I18" s="72"/>
      <c r="J18" s="74"/>
      <c r="K18" s="73"/>
      <c r="L18" s="54">
        <f t="shared" si="0"/>
        <v>0</v>
      </c>
      <c r="M18" s="55">
        <f t="shared" si="1"/>
        <v>0</v>
      </c>
      <c r="N18" s="55">
        <f t="shared" si="2"/>
        <v>0</v>
      </c>
      <c r="O18" s="56" t="str">
        <f t="shared" si="3"/>
        <v/>
      </c>
      <c r="P18" s="62" t="str">
        <f t="shared" si="4"/>
        <v/>
      </c>
      <c r="Q18" s="58"/>
      <c r="R18" s="59">
        <f t="shared" si="5"/>
        <v>4</v>
      </c>
      <c r="S18" s="60">
        <f t="shared" si="6"/>
        <v>0</v>
      </c>
      <c r="T18" s="61">
        <f t="shared" si="7"/>
        <v>0</v>
      </c>
      <c r="U18" s="61">
        <f t="shared" si="8"/>
        <v>0</v>
      </c>
      <c r="V18" s="61">
        <f t="shared" si="9"/>
        <v>0</v>
      </c>
      <c r="W18" s="59">
        <f t="shared" si="10"/>
        <v>0</v>
      </c>
      <c r="X18" s="1">
        <f t="shared" si="11"/>
        <v>0</v>
      </c>
      <c r="Y18" s="1">
        <f t="shared" si="12"/>
        <v>0</v>
      </c>
      <c r="Z18" s="1">
        <f t="shared" si="13"/>
        <v>0</v>
      </c>
      <c r="AA18" s="6">
        <f t="shared" si="14"/>
        <v>0</v>
      </c>
      <c r="AB18" s="1">
        <f t="shared" si="15"/>
        <v>0</v>
      </c>
      <c r="AC18" s="1">
        <f t="shared" si="16"/>
        <v>0</v>
      </c>
      <c r="AD18" s="1">
        <f>IF(D18="",0,VLOOKUP(D18,Lookup!$W$144:$X$165,2,FALSE))</f>
        <v>0</v>
      </c>
      <c r="AE18" s="1">
        <f t="shared" si="17"/>
        <v>0</v>
      </c>
      <c r="AF18" s="1"/>
      <c r="AG18" s="1">
        <f t="shared" si="18"/>
        <v>0</v>
      </c>
      <c r="AH18" s="6" t="str">
        <f t="shared" si="19"/>
        <v>-</v>
      </c>
      <c r="AI18" s="1">
        <f t="shared" si="20"/>
        <v>0</v>
      </c>
      <c r="AJ18" s="1" t="str">
        <f>IF(ISERROR(VLOOKUP(G18,Lookup!$J$93:$M$111,4,FALSE)),"NS",VLOOKUP(G18,Lookup!$J$93:$M$111,4,FALSE))</f>
        <v>NS</v>
      </c>
      <c r="AK18" s="1" t="str">
        <f t="shared" si="21"/>
        <v>NSNSNSNS</v>
      </c>
      <c r="AL18" s="1">
        <f>IF(D18="",0,IF(D18="Portable Def",3,VLOOKUP(AH18,Lookup!$B$3:$F$69,MATCH(F18,Lookup!$B$3:$F$3,0),FALSE)))</f>
        <v>0</v>
      </c>
      <c r="AM18" s="1">
        <f>IF(D18="Naval",0,IF(G18="",0,VLOOKUP(G18,Lookup!$J$93:$L$111,MATCH(AI18,Lookup!$J$93:$L$93,0),FALSE)))</f>
        <v>0</v>
      </c>
      <c r="AN18" s="1">
        <f>IF(H18="",0,VLOOKUP(H18,Lookup!$M$113:$O$128,MATCH(AI18,Lookup!$M$113:$O$113,0),FALSE))</f>
        <v>0</v>
      </c>
      <c r="AO18" s="1">
        <f>(IF(I18="",0,IF(AND(H18="Hvy W",I18="Hvy W"),0,VLOOKUP(I18,Lookup!$P$130:$R$137,MATCH(AI18,Lookup!$M$113:$O$113,0),FALSE))))</f>
        <v>0</v>
      </c>
      <c r="AP18" s="1">
        <f t="shared" si="22"/>
        <v>0</v>
      </c>
      <c r="AQ18" s="1">
        <f t="shared" si="23"/>
        <v>0</v>
      </c>
      <c r="AR18" s="1">
        <f t="shared" si="24"/>
        <v>0</v>
      </c>
      <c r="AS18" s="5">
        <f t="shared" si="25"/>
        <v>0</v>
      </c>
      <c r="AT18" s="1">
        <f t="shared" si="27"/>
        <v>0</v>
      </c>
      <c r="AU18" s="1">
        <f t="shared" si="26"/>
        <v>0</v>
      </c>
      <c r="AV18" s="1"/>
      <c r="AW18" s="1"/>
      <c r="AX18" s="1"/>
      <c r="AY18" s="1"/>
      <c r="AZ18" s="1"/>
      <c r="BA18" s="1"/>
    </row>
    <row r="19" spans="1:53" ht="16.5" customHeight="1" x14ac:dyDescent="0.2">
      <c r="A19" s="68"/>
      <c r="B19" s="71"/>
      <c r="C19" s="72"/>
      <c r="D19" s="72"/>
      <c r="E19" s="72"/>
      <c r="F19" s="72"/>
      <c r="G19" s="72"/>
      <c r="H19" s="73"/>
      <c r="I19" s="73"/>
      <c r="J19" s="74"/>
      <c r="K19" s="73"/>
      <c r="L19" s="54">
        <f t="shared" si="0"/>
        <v>0</v>
      </c>
      <c r="M19" s="55">
        <f t="shared" si="1"/>
        <v>0</v>
      </c>
      <c r="N19" s="55">
        <f t="shared" si="2"/>
        <v>0</v>
      </c>
      <c r="O19" s="56" t="str">
        <f t="shared" si="3"/>
        <v/>
      </c>
      <c r="P19" s="62" t="str">
        <f t="shared" si="4"/>
        <v/>
      </c>
      <c r="Q19" s="58"/>
      <c r="R19" s="59">
        <f t="shared" si="5"/>
        <v>4</v>
      </c>
      <c r="S19" s="60">
        <f t="shared" si="6"/>
        <v>0</v>
      </c>
      <c r="T19" s="61">
        <f t="shared" si="7"/>
        <v>0</v>
      </c>
      <c r="U19" s="61">
        <f t="shared" si="8"/>
        <v>0</v>
      </c>
      <c r="V19" s="61">
        <f t="shared" si="9"/>
        <v>0</v>
      </c>
      <c r="W19" s="59">
        <f t="shared" si="10"/>
        <v>0</v>
      </c>
      <c r="X19" s="1">
        <f t="shared" si="11"/>
        <v>0</v>
      </c>
      <c r="Y19" s="1">
        <f t="shared" si="12"/>
        <v>0</v>
      </c>
      <c r="Z19" s="1">
        <f t="shared" si="13"/>
        <v>0</v>
      </c>
      <c r="AA19" s="6">
        <f t="shared" si="14"/>
        <v>0</v>
      </c>
      <c r="AB19" s="1">
        <f t="shared" si="15"/>
        <v>0</v>
      </c>
      <c r="AC19" s="1">
        <f t="shared" si="16"/>
        <v>0</v>
      </c>
      <c r="AD19" s="1">
        <f>IF(D19="",0,VLOOKUP(D19,Lookup!$W$144:$X$165,2,FALSE))</f>
        <v>0</v>
      </c>
      <c r="AE19" s="1">
        <f t="shared" si="17"/>
        <v>0</v>
      </c>
      <c r="AF19" s="1"/>
      <c r="AG19" s="1">
        <f t="shared" si="18"/>
        <v>0</v>
      </c>
      <c r="AH19" s="6" t="str">
        <f t="shared" si="19"/>
        <v>-</v>
      </c>
      <c r="AI19" s="1">
        <f t="shared" si="20"/>
        <v>0</v>
      </c>
      <c r="AJ19" s="1" t="str">
        <f>IF(ISERROR(VLOOKUP(G19,Lookup!$J$93:$M$111,4,FALSE)),"NS",VLOOKUP(G19,Lookup!$J$93:$M$111,4,FALSE))</f>
        <v>NS</v>
      </c>
      <c r="AK19" s="1" t="str">
        <f t="shared" si="21"/>
        <v>NSNSNSNS</v>
      </c>
      <c r="AL19" s="1">
        <f>IF(D19="",0,IF(D19="Portable Def",3,VLOOKUP(AH19,Lookup!$B$3:$F$69,MATCH(F19,Lookup!$B$3:$F$3,0),FALSE)))</f>
        <v>0</v>
      </c>
      <c r="AM19" s="1">
        <f>IF(D19="Naval",0,IF(G19="",0,VLOOKUP(G19,Lookup!$J$93:$L$111,MATCH(AI19,Lookup!$J$93:$L$93,0),FALSE)))</f>
        <v>0</v>
      </c>
      <c r="AN19" s="1">
        <f>IF(H19="",0,VLOOKUP(H19,Lookup!$M$113:$O$128,MATCH(AI19,Lookup!$M$113:$O$113,0),FALSE))</f>
        <v>0</v>
      </c>
      <c r="AO19" s="1">
        <f>(IF(I19="",0,IF(AND(H19="Hvy W",I19="Hvy W"),0,VLOOKUP(I19,Lookup!$P$130:$R$137,MATCH(AI19,Lookup!$M$113:$O$113,0),FALSE))))</f>
        <v>0</v>
      </c>
      <c r="AP19" s="1">
        <f t="shared" si="22"/>
        <v>0</v>
      </c>
      <c r="AQ19" s="1">
        <f t="shared" si="23"/>
        <v>0</v>
      </c>
      <c r="AR19" s="1">
        <f t="shared" si="24"/>
        <v>0</v>
      </c>
      <c r="AS19" s="5">
        <f t="shared" si="25"/>
        <v>0</v>
      </c>
      <c r="AT19" s="1">
        <f t="shared" si="27"/>
        <v>0</v>
      </c>
      <c r="AU19" s="1">
        <f t="shared" si="26"/>
        <v>0</v>
      </c>
      <c r="AV19" s="1"/>
      <c r="AW19" s="1"/>
      <c r="AX19" s="1"/>
      <c r="AY19" s="1"/>
      <c r="AZ19" s="1"/>
      <c r="BA19" s="1"/>
    </row>
    <row r="20" spans="1:53" ht="16.5" customHeight="1" x14ac:dyDescent="0.2">
      <c r="A20" s="68"/>
      <c r="B20" s="75"/>
      <c r="C20" s="73"/>
      <c r="D20" s="73"/>
      <c r="E20" s="73"/>
      <c r="F20" s="73"/>
      <c r="G20" s="73"/>
      <c r="H20" s="73"/>
      <c r="I20" s="73"/>
      <c r="J20" s="76"/>
      <c r="K20" s="73"/>
      <c r="L20" s="54">
        <f t="shared" si="0"/>
        <v>0</v>
      </c>
      <c r="M20" s="55">
        <f t="shared" si="1"/>
        <v>0</v>
      </c>
      <c r="N20" s="55">
        <f t="shared" si="2"/>
        <v>0</v>
      </c>
      <c r="O20" s="56" t="str">
        <f t="shared" si="3"/>
        <v/>
      </c>
      <c r="P20" s="62" t="str">
        <f t="shared" si="4"/>
        <v/>
      </c>
      <c r="Q20" s="58"/>
      <c r="R20" s="59">
        <f t="shared" si="5"/>
        <v>4</v>
      </c>
      <c r="S20" s="60">
        <f t="shared" si="6"/>
        <v>0</v>
      </c>
      <c r="T20" s="61">
        <f t="shared" si="7"/>
        <v>0</v>
      </c>
      <c r="U20" s="61">
        <f t="shared" si="8"/>
        <v>0</v>
      </c>
      <c r="V20" s="61">
        <f t="shared" si="9"/>
        <v>0</v>
      </c>
      <c r="W20" s="59">
        <f t="shared" si="10"/>
        <v>0</v>
      </c>
      <c r="X20" s="1">
        <f t="shared" si="11"/>
        <v>0</v>
      </c>
      <c r="Y20" s="1">
        <f t="shared" si="12"/>
        <v>0</v>
      </c>
      <c r="Z20" s="1">
        <f t="shared" si="13"/>
        <v>0</v>
      </c>
      <c r="AA20" s="6">
        <f t="shared" si="14"/>
        <v>0</v>
      </c>
      <c r="AB20" s="1">
        <f t="shared" si="15"/>
        <v>0</v>
      </c>
      <c r="AC20" s="1">
        <f t="shared" si="16"/>
        <v>0</v>
      </c>
      <c r="AD20" s="1">
        <f>IF(D20="",0,VLOOKUP(D20,Lookup!$W$144:$X$165,2,FALSE))</f>
        <v>0</v>
      </c>
      <c r="AE20" s="1">
        <f t="shared" si="17"/>
        <v>0</v>
      </c>
      <c r="AF20" s="1"/>
      <c r="AG20" s="1">
        <f t="shared" si="18"/>
        <v>0</v>
      </c>
      <c r="AH20" s="6" t="str">
        <f t="shared" si="19"/>
        <v>-</v>
      </c>
      <c r="AI20" s="1">
        <f t="shared" si="20"/>
        <v>0</v>
      </c>
      <c r="AJ20" s="1" t="str">
        <f>IF(ISERROR(VLOOKUP(G20,Lookup!$J$93:$M$111,4,FALSE)),"NS",VLOOKUP(G20,Lookup!$J$93:$M$111,4,FALSE))</f>
        <v>NS</v>
      </c>
      <c r="AK20" s="1" t="str">
        <f t="shared" si="21"/>
        <v>NSNSNSNS</v>
      </c>
      <c r="AL20" s="1">
        <f>IF(D20="",0,IF(D20="Portable Def",3,VLOOKUP(AH20,Lookup!$B$3:$F$69,MATCH(F20,Lookup!$B$3:$F$3,0),FALSE)))</f>
        <v>0</v>
      </c>
      <c r="AM20" s="1">
        <f>IF(D20="Naval",0,IF(G20="",0,VLOOKUP(G20,Lookup!$J$93:$L$111,MATCH(AI20,Lookup!$J$93:$L$93,0),FALSE)))</f>
        <v>0</v>
      </c>
      <c r="AN20" s="1">
        <f>IF(H20="",0,VLOOKUP(H20,Lookup!$M$113:$O$128,MATCH(AI20,Lookup!$M$113:$O$113,0),FALSE))</f>
        <v>0</v>
      </c>
      <c r="AO20" s="1">
        <f>(IF(I20="",0,IF(AND(H20="Hvy W",I20="Hvy W"),0,VLOOKUP(I20,Lookup!$P$130:$R$137,MATCH(AI20,Lookup!$M$113:$O$113,0),FALSE))))</f>
        <v>0</v>
      </c>
      <c r="AP20" s="1">
        <f t="shared" si="22"/>
        <v>0</v>
      </c>
      <c r="AQ20" s="1">
        <f t="shared" si="23"/>
        <v>0</v>
      </c>
      <c r="AR20" s="1">
        <f t="shared" si="24"/>
        <v>0</v>
      </c>
      <c r="AS20" s="5">
        <f t="shared" si="25"/>
        <v>0</v>
      </c>
      <c r="AT20" s="1">
        <f t="shared" si="27"/>
        <v>0</v>
      </c>
      <c r="AU20" s="1">
        <f t="shared" si="26"/>
        <v>0</v>
      </c>
      <c r="AV20" s="1"/>
      <c r="AW20" s="1"/>
      <c r="AX20" s="1"/>
      <c r="AY20" s="1"/>
      <c r="AZ20" s="1"/>
      <c r="BA20" s="1"/>
    </row>
    <row r="21" spans="1:53" ht="16.5" customHeight="1" x14ac:dyDescent="0.2">
      <c r="A21" s="68"/>
      <c r="B21" s="75"/>
      <c r="C21" s="73"/>
      <c r="D21" s="73"/>
      <c r="E21" s="73"/>
      <c r="F21" s="73"/>
      <c r="G21" s="73"/>
      <c r="H21" s="73"/>
      <c r="I21" s="73"/>
      <c r="J21" s="76"/>
      <c r="K21" s="73"/>
      <c r="L21" s="54">
        <f t="shared" si="0"/>
        <v>0</v>
      </c>
      <c r="M21" s="55">
        <f t="shared" si="1"/>
        <v>0</v>
      </c>
      <c r="N21" s="55">
        <f t="shared" si="2"/>
        <v>0</v>
      </c>
      <c r="O21" s="56" t="str">
        <f t="shared" si="3"/>
        <v/>
      </c>
      <c r="P21" s="62" t="str">
        <f t="shared" si="4"/>
        <v/>
      </c>
      <c r="Q21" s="58"/>
      <c r="R21" s="59">
        <f t="shared" si="5"/>
        <v>4</v>
      </c>
      <c r="S21" s="60">
        <f t="shared" si="6"/>
        <v>0</v>
      </c>
      <c r="T21" s="61">
        <f t="shared" si="7"/>
        <v>0</v>
      </c>
      <c r="U21" s="61">
        <f t="shared" si="8"/>
        <v>0</v>
      </c>
      <c r="V21" s="61">
        <f t="shared" si="9"/>
        <v>0</v>
      </c>
      <c r="W21" s="59">
        <f t="shared" si="10"/>
        <v>0</v>
      </c>
      <c r="X21" s="1">
        <f t="shared" si="11"/>
        <v>0</v>
      </c>
      <c r="Y21" s="1">
        <f t="shared" si="12"/>
        <v>0</v>
      </c>
      <c r="Z21" s="1">
        <f t="shared" si="13"/>
        <v>0</v>
      </c>
      <c r="AA21" s="6">
        <f t="shared" si="14"/>
        <v>0</v>
      </c>
      <c r="AB21" s="1">
        <f t="shared" si="15"/>
        <v>0</v>
      </c>
      <c r="AC21" s="1">
        <f t="shared" si="16"/>
        <v>0</v>
      </c>
      <c r="AD21" s="1">
        <f>IF(D21="",0,VLOOKUP(D21,Lookup!$W$144:$X$165,2,FALSE))</f>
        <v>0</v>
      </c>
      <c r="AE21" s="1">
        <f t="shared" si="17"/>
        <v>0</v>
      </c>
      <c r="AF21" s="1"/>
      <c r="AG21" s="1">
        <f t="shared" si="18"/>
        <v>0</v>
      </c>
      <c r="AH21" s="6" t="str">
        <f t="shared" si="19"/>
        <v>-</v>
      </c>
      <c r="AI21" s="1">
        <f t="shared" si="20"/>
        <v>0</v>
      </c>
      <c r="AJ21" s="1" t="str">
        <f>IF(ISERROR(VLOOKUP(G21,Lookup!$J$93:$M$111,4,FALSE)),"NS",VLOOKUP(G21,Lookup!$J$93:$M$111,4,FALSE))</f>
        <v>NS</v>
      </c>
      <c r="AK21" s="1" t="str">
        <f t="shared" si="21"/>
        <v>NSNSNSNS</v>
      </c>
      <c r="AL21" s="1">
        <f>IF(D21="",0,IF(D21="Portable Def",3,VLOOKUP(AH21,Lookup!$B$3:$F$69,MATCH(F21,Lookup!$B$3:$F$3,0),FALSE)))</f>
        <v>0</v>
      </c>
      <c r="AM21" s="1">
        <f>IF(D21="Naval",0,IF(G21="",0,VLOOKUP(G21,Lookup!$J$93:$L$111,MATCH(AI21,Lookup!$J$93:$L$93,0),FALSE)))</f>
        <v>0</v>
      </c>
      <c r="AN21" s="1">
        <f>IF(H21="",0,VLOOKUP(H21,Lookup!$M$113:$O$128,MATCH(AI21,Lookup!$M$113:$O$113,0),FALSE))</f>
        <v>0</v>
      </c>
      <c r="AO21" s="1">
        <f>(IF(I21="",0,IF(AND(H21="Hvy W",I21="Hvy W"),0,VLOOKUP(I21,Lookup!$P$130:$R$137,MATCH(AI21,Lookup!$M$113:$O$113,0),FALSE))))</f>
        <v>0</v>
      </c>
      <c r="AP21" s="1">
        <f t="shared" si="22"/>
        <v>0</v>
      </c>
      <c r="AQ21" s="1">
        <f t="shared" si="23"/>
        <v>0</v>
      </c>
      <c r="AR21" s="1">
        <f t="shared" si="24"/>
        <v>0</v>
      </c>
      <c r="AS21" s="5">
        <f t="shared" si="25"/>
        <v>0</v>
      </c>
      <c r="AT21" s="1">
        <f t="shared" si="27"/>
        <v>0</v>
      </c>
      <c r="AU21" s="1">
        <f t="shared" si="26"/>
        <v>0</v>
      </c>
      <c r="AV21" s="1"/>
      <c r="AW21" s="1"/>
      <c r="AX21" s="1"/>
      <c r="AY21" s="1"/>
      <c r="AZ21" s="1"/>
      <c r="BA21" s="1"/>
    </row>
    <row r="22" spans="1:53" ht="16.5" customHeight="1" x14ac:dyDescent="0.2">
      <c r="A22" s="68"/>
      <c r="B22" s="75"/>
      <c r="C22" s="72"/>
      <c r="D22" s="72"/>
      <c r="E22" s="72"/>
      <c r="F22" s="72"/>
      <c r="G22" s="72"/>
      <c r="H22" s="73"/>
      <c r="I22" s="73"/>
      <c r="J22" s="74"/>
      <c r="K22" s="73"/>
      <c r="L22" s="54">
        <f t="shared" si="0"/>
        <v>0</v>
      </c>
      <c r="M22" s="55">
        <f t="shared" si="1"/>
        <v>0</v>
      </c>
      <c r="N22" s="55">
        <f t="shared" si="2"/>
        <v>0</v>
      </c>
      <c r="O22" s="56" t="str">
        <f t="shared" si="3"/>
        <v/>
      </c>
      <c r="P22" s="62" t="str">
        <f t="shared" si="4"/>
        <v/>
      </c>
      <c r="Q22" s="58"/>
      <c r="R22" s="59">
        <f t="shared" si="5"/>
        <v>4</v>
      </c>
      <c r="S22" s="60">
        <f t="shared" si="6"/>
        <v>0</v>
      </c>
      <c r="T22" s="61">
        <f t="shared" si="7"/>
        <v>0</v>
      </c>
      <c r="U22" s="61">
        <f t="shared" si="8"/>
        <v>0</v>
      </c>
      <c r="V22" s="61">
        <f t="shared" si="9"/>
        <v>0</v>
      </c>
      <c r="W22" s="59">
        <f t="shared" si="10"/>
        <v>0</v>
      </c>
      <c r="X22" s="1">
        <f t="shared" si="11"/>
        <v>0</v>
      </c>
      <c r="Y22" s="1">
        <f t="shared" si="12"/>
        <v>0</v>
      </c>
      <c r="Z22" s="1">
        <f t="shared" si="13"/>
        <v>0</v>
      </c>
      <c r="AA22" s="6">
        <f t="shared" si="14"/>
        <v>0</v>
      </c>
      <c r="AB22" s="1">
        <f t="shared" si="15"/>
        <v>0</v>
      </c>
      <c r="AC22" s="1">
        <f t="shared" si="16"/>
        <v>0</v>
      </c>
      <c r="AD22" s="1">
        <f>IF(D22="",0,VLOOKUP(D22,Lookup!$W$144:$X$165,2,FALSE))</f>
        <v>0</v>
      </c>
      <c r="AE22" s="1">
        <f t="shared" si="17"/>
        <v>0</v>
      </c>
      <c r="AF22" s="1"/>
      <c r="AG22" s="1">
        <f t="shared" si="18"/>
        <v>0</v>
      </c>
      <c r="AH22" s="6" t="str">
        <f t="shared" si="19"/>
        <v>-</v>
      </c>
      <c r="AI22" s="1">
        <f t="shared" si="20"/>
        <v>0</v>
      </c>
      <c r="AJ22" s="1" t="str">
        <f>IF(ISERROR(VLOOKUP(G22,Lookup!$J$93:$M$111,4,FALSE)),"NS",VLOOKUP(G22,Lookup!$J$93:$M$111,4,FALSE))</f>
        <v>NS</v>
      </c>
      <c r="AK22" s="1" t="str">
        <f t="shared" si="21"/>
        <v>NSNSNSNS</v>
      </c>
      <c r="AL22" s="1">
        <f>IF(D22="",0,IF(D22="Portable Def",3,VLOOKUP(AH22,Lookup!$B$3:$F$69,MATCH(F22,Lookup!$B$3:$F$3,0),FALSE)))</f>
        <v>0</v>
      </c>
      <c r="AM22" s="1">
        <f>IF(D22="Naval",0,IF(G22="",0,VLOOKUP(G22,Lookup!$J$93:$L$111,MATCH(AI22,Lookup!$J$93:$L$93,0),FALSE)))</f>
        <v>0</v>
      </c>
      <c r="AN22" s="1">
        <f>IF(H22="",0,VLOOKUP(H22,Lookup!$M$113:$O$128,MATCH(AI22,Lookup!$M$113:$O$113,0),FALSE))</f>
        <v>0</v>
      </c>
      <c r="AO22" s="1">
        <f>(IF(I22="",0,IF(AND(H22="Hvy W",I22="Hvy W"),0,VLOOKUP(I22,Lookup!$P$130:$R$137,MATCH(AI22,Lookup!$M$113:$O$113,0),FALSE))))</f>
        <v>0</v>
      </c>
      <c r="AP22" s="1">
        <f t="shared" si="22"/>
        <v>0</v>
      </c>
      <c r="AQ22" s="1">
        <f t="shared" si="23"/>
        <v>0</v>
      </c>
      <c r="AR22" s="1">
        <f t="shared" si="24"/>
        <v>0</v>
      </c>
      <c r="AS22" s="5">
        <f t="shared" si="25"/>
        <v>0</v>
      </c>
      <c r="AT22" s="1">
        <f t="shared" si="27"/>
        <v>0</v>
      </c>
      <c r="AU22" s="1">
        <f t="shared" si="26"/>
        <v>0</v>
      </c>
      <c r="AV22" s="1"/>
      <c r="AW22" s="1"/>
      <c r="AX22" s="1"/>
      <c r="AY22" s="1"/>
      <c r="AZ22" s="1"/>
      <c r="BA22" s="1"/>
    </row>
    <row r="23" spans="1:53" ht="16.5" customHeight="1" x14ac:dyDescent="0.2">
      <c r="A23" s="68"/>
      <c r="B23" s="75"/>
      <c r="C23" s="73"/>
      <c r="D23" s="73"/>
      <c r="E23" s="73"/>
      <c r="F23" s="73"/>
      <c r="G23" s="73"/>
      <c r="H23" s="73"/>
      <c r="I23" s="73"/>
      <c r="J23" s="76"/>
      <c r="K23" s="73"/>
      <c r="L23" s="54">
        <f t="shared" si="0"/>
        <v>0</v>
      </c>
      <c r="M23" s="55">
        <f t="shared" si="1"/>
        <v>0</v>
      </c>
      <c r="N23" s="55">
        <f t="shared" si="2"/>
        <v>0</v>
      </c>
      <c r="O23" s="56" t="str">
        <f t="shared" si="3"/>
        <v/>
      </c>
      <c r="P23" s="62" t="str">
        <f t="shared" si="4"/>
        <v/>
      </c>
      <c r="Q23" s="58"/>
      <c r="R23" s="59">
        <f t="shared" si="5"/>
        <v>4</v>
      </c>
      <c r="S23" s="60">
        <f t="shared" si="6"/>
        <v>0</v>
      </c>
      <c r="T23" s="61">
        <f t="shared" si="7"/>
        <v>0</v>
      </c>
      <c r="U23" s="61">
        <f t="shared" si="8"/>
        <v>0</v>
      </c>
      <c r="V23" s="61">
        <f t="shared" si="9"/>
        <v>0</v>
      </c>
      <c r="W23" s="59">
        <f t="shared" si="10"/>
        <v>0</v>
      </c>
      <c r="X23" s="1">
        <f t="shared" si="11"/>
        <v>0</v>
      </c>
      <c r="Y23" s="1">
        <f t="shared" si="12"/>
        <v>0</v>
      </c>
      <c r="Z23" s="1">
        <f t="shared" si="13"/>
        <v>0</v>
      </c>
      <c r="AA23" s="6">
        <f t="shared" si="14"/>
        <v>0</v>
      </c>
      <c r="AB23" s="1">
        <f t="shared" si="15"/>
        <v>0</v>
      </c>
      <c r="AC23" s="1">
        <f t="shared" si="16"/>
        <v>0</v>
      </c>
      <c r="AD23" s="1">
        <f>IF(D23="",0,VLOOKUP(D23,Lookup!$W$144:$X$165,2,FALSE))</f>
        <v>0</v>
      </c>
      <c r="AE23" s="1">
        <f t="shared" si="17"/>
        <v>0</v>
      </c>
      <c r="AF23" s="1"/>
      <c r="AG23" s="1">
        <f t="shared" si="18"/>
        <v>0</v>
      </c>
      <c r="AH23" s="6" t="str">
        <f t="shared" si="19"/>
        <v>-</v>
      </c>
      <c r="AI23" s="1">
        <f t="shared" si="20"/>
        <v>0</v>
      </c>
      <c r="AJ23" s="1" t="str">
        <f>IF(ISERROR(VLOOKUP(G23,Lookup!$J$93:$M$111,4,FALSE)),"NS",VLOOKUP(G23,Lookup!$J$93:$M$111,4,FALSE))</f>
        <v>NS</v>
      </c>
      <c r="AK23" s="1" t="str">
        <f t="shared" si="21"/>
        <v>NSNSNSNS</v>
      </c>
      <c r="AL23" s="1">
        <f>IF(D23="",0,IF(D23="Portable Def",3,VLOOKUP(AH23,Lookup!$B$3:$F$69,MATCH(F23,Lookup!$B$3:$F$3,0),FALSE)))</f>
        <v>0</v>
      </c>
      <c r="AM23" s="1">
        <f>IF(D23="Naval",0,IF(G23="",0,VLOOKUP(G23,Lookup!$J$93:$L$111,MATCH(AI23,Lookup!$J$93:$L$93,0),FALSE)))</f>
        <v>0</v>
      </c>
      <c r="AN23" s="1">
        <f>IF(H23="",0,VLOOKUP(H23,Lookup!$M$113:$O$128,MATCH(AI23,Lookup!$M$113:$O$113,0),FALSE))</f>
        <v>0</v>
      </c>
      <c r="AO23" s="1">
        <f>(IF(I23="",0,IF(AND(H23="Hvy W",I23="Hvy W"),0,VLOOKUP(I23,Lookup!$P$130:$R$137,MATCH(AI23,Lookup!$M$113:$O$113,0),FALSE))))</f>
        <v>0</v>
      </c>
      <c r="AP23" s="1">
        <f t="shared" si="22"/>
        <v>0</v>
      </c>
      <c r="AQ23" s="1">
        <f t="shared" si="23"/>
        <v>0</v>
      </c>
      <c r="AR23" s="1">
        <f t="shared" si="24"/>
        <v>0</v>
      </c>
      <c r="AS23" s="5">
        <f t="shared" si="25"/>
        <v>0</v>
      </c>
      <c r="AT23" s="1">
        <f t="shared" si="27"/>
        <v>0</v>
      </c>
      <c r="AU23" s="1">
        <f t="shared" si="26"/>
        <v>0</v>
      </c>
      <c r="AV23" s="1"/>
      <c r="AW23" s="1"/>
      <c r="AX23" s="1"/>
      <c r="AY23" s="1"/>
      <c r="AZ23" s="1"/>
      <c r="BA23" s="1"/>
    </row>
    <row r="24" spans="1:53" ht="16.5" customHeight="1" x14ac:dyDescent="0.2">
      <c r="A24" s="68"/>
      <c r="B24" s="75"/>
      <c r="C24" s="73"/>
      <c r="D24" s="73"/>
      <c r="E24" s="73"/>
      <c r="F24" s="73"/>
      <c r="G24" s="73"/>
      <c r="H24" s="73"/>
      <c r="I24" s="73"/>
      <c r="J24" s="76"/>
      <c r="K24" s="73"/>
      <c r="L24" s="54">
        <f t="shared" si="0"/>
        <v>0</v>
      </c>
      <c r="M24" s="55">
        <f t="shared" si="1"/>
        <v>0</v>
      </c>
      <c r="N24" s="55">
        <f t="shared" si="2"/>
        <v>0</v>
      </c>
      <c r="O24" s="56" t="str">
        <f t="shared" si="3"/>
        <v/>
      </c>
      <c r="P24" s="62" t="str">
        <f t="shared" si="4"/>
        <v/>
      </c>
      <c r="Q24" s="58"/>
      <c r="R24" s="59">
        <f t="shared" si="5"/>
        <v>4</v>
      </c>
      <c r="S24" s="60">
        <f t="shared" si="6"/>
        <v>0</v>
      </c>
      <c r="T24" s="61">
        <f t="shared" si="7"/>
        <v>0</v>
      </c>
      <c r="U24" s="61">
        <f t="shared" si="8"/>
        <v>0</v>
      </c>
      <c r="V24" s="61">
        <f t="shared" si="9"/>
        <v>0</v>
      </c>
      <c r="W24" s="59">
        <f t="shared" si="10"/>
        <v>0</v>
      </c>
      <c r="X24" s="1">
        <f t="shared" si="11"/>
        <v>0</v>
      </c>
      <c r="Y24" s="1">
        <f t="shared" si="12"/>
        <v>0</v>
      </c>
      <c r="Z24" s="1">
        <f t="shared" si="13"/>
        <v>0</v>
      </c>
      <c r="AA24" s="6">
        <f t="shared" si="14"/>
        <v>0</v>
      </c>
      <c r="AB24" s="1">
        <f t="shared" si="15"/>
        <v>0</v>
      </c>
      <c r="AC24" s="1">
        <f t="shared" si="16"/>
        <v>0</v>
      </c>
      <c r="AD24" s="1">
        <f>IF(D24="",0,VLOOKUP(D24,Lookup!$W$144:$X$165,2,FALSE))</f>
        <v>0</v>
      </c>
      <c r="AE24" s="1">
        <f t="shared" si="17"/>
        <v>0</v>
      </c>
      <c r="AF24" s="1"/>
      <c r="AG24" s="1">
        <f t="shared" si="18"/>
        <v>0</v>
      </c>
      <c r="AH24" s="6" t="str">
        <f t="shared" si="19"/>
        <v>-</v>
      </c>
      <c r="AI24" s="1">
        <f t="shared" si="20"/>
        <v>0</v>
      </c>
      <c r="AJ24" s="1" t="str">
        <f>IF(ISERROR(VLOOKUP(G24,Lookup!$J$93:$M$111,4,FALSE)),"NS",VLOOKUP(G24,Lookup!$J$93:$M$111,4,FALSE))</f>
        <v>NS</v>
      </c>
      <c r="AK24" s="1" t="str">
        <f t="shared" si="21"/>
        <v>NSNSNSNS</v>
      </c>
      <c r="AL24" s="1">
        <f>IF(D24="",0,IF(D24="Portable Def",3,VLOOKUP(AH24,Lookup!$B$3:$F$69,MATCH(F24,Lookup!$B$3:$F$3,0),FALSE)))</f>
        <v>0</v>
      </c>
      <c r="AM24" s="1">
        <f>IF(D24="Naval",0,IF(G24="",0,VLOOKUP(G24,Lookup!$J$93:$L$111,MATCH(AI24,Lookup!$J$93:$L$93,0),FALSE)))</f>
        <v>0</v>
      </c>
      <c r="AN24" s="1">
        <f>IF(H24="",0,VLOOKUP(H24,Lookup!$M$113:$O$128,MATCH(AI24,Lookup!$M$113:$O$113,0),FALSE))</f>
        <v>0</v>
      </c>
      <c r="AO24" s="1">
        <f>(IF(I24="",0,IF(AND(H24="Hvy W",I24="Hvy W"),0,VLOOKUP(I24,Lookup!$P$130:$R$137,MATCH(AI24,Lookup!$M$113:$O$113,0),FALSE))))</f>
        <v>0</v>
      </c>
      <c r="AP24" s="1">
        <f t="shared" si="22"/>
        <v>0</v>
      </c>
      <c r="AQ24" s="1">
        <f t="shared" si="23"/>
        <v>0</v>
      </c>
      <c r="AR24" s="1">
        <f t="shared" si="24"/>
        <v>0</v>
      </c>
      <c r="AS24" s="5">
        <f t="shared" si="25"/>
        <v>0</v>
      </c>
      <c r="AT24" s="1">
        <f t="shared" si="27"/>
        <v>0</v>
      </c>
      <c r="AU24" s="1">
        <f t="shared" si="26"/>
        <v>0</v>
      </c>
      <c r="AV24" s="1"/>
      <c r="AW24" s="1"/>
      <c r="AX24" s="1"/>
      <c r="AY24" s="1"/>
      <c r="AZ24" s="1"/>
      <c r="BA24" s="1"/>
    </row>
    <row r="25" spans="1:53" ht="16.5" customHeight="1" x14ac:dyDescent="0.2">
      <c r="A25" s="68"/>
      <c r="B25" s="75"/>
      <c r="C25" s="72"/>
      <c r="D25" s="72"/>
      <c r="E25" s="72"/>
      <c r="F25" s="72"/>
      <c r="G25" s="72"/>
      <c r="H25" s="73"/>
      <c r="I25" s="73"/>
      <c r="J25" s="74"/>
      <c r="K25" s="73"/>
      <c r="L25" s="54">
        <f t="shared" si="0"/>
        <v>0</v>
      </c>
      <c r="M25" s="55">
        <f t="shared" si="1"/>
        <v>0</v>
      </c>
      <c r="N25" s="55">
        <f t="shared" si="2"/>
        <v>0</v>
      </c>
      <c r="O25" s="56" t="str">
        <f t="shared" si="3"/>
        <v/>
      </c>
      <c r="P25" s="62" t="str">
        <f t="shared" si="4"/>
        <v/>
      </c>
      <c r="Q25" s="58"/>
      <c r="R25" s="59">
        <f t="shared" si="5"/>
        <v>4</v>
      </c>
      <c r="S25" s="60">
        <f t="shared" si="6"/>
        <v>0</v>
      </c>
      <c r="T25" s="61">
        <f t="shared" si="7"/>
        <v>0</v>
      </c>
      <c r="U25" s="61">
        <f t="shared" si="8"/>
        <v>0</v>
      </c>
      <c r="V25" s="61">
        <f t="shared" si="9"/>
        <v>0</v>
      </c>
      <c r="W25" s="59">
        <f t="shared" si="10"/>
        <v>0</v>
      </c>
      <c r="X25" s="1">
        <f t="shared" si="11"/>
        <v>0</v>
      </c>
      <c r="Y25" s="1">
        <f t="shared" si="12"/>
        <v>0</v>
      </c>
      <c r="Z25" s="1">
        <f t="shared" si="13"/>
        <v>0</v>
      </c>
      <c r="AA25" s="6">
        <f t="shared" si="14"/>
        <v>0</v>
      </c>
      <c r="AB25" s="1">
        <f t="shared" si="15"/>
        <v>0</v>
      </c>
      <c r="AC25" s="1">
        <f t="shared" si="16"/>
        <v>0</v>
      </c>
      <c r="AD25" s="1">
        <f>IF(D25="",0,VLOOKUP(D25,Lookup!$W$144:$X$165,2,FALSE))</f>
        <v>0</v>
      </c>
      <c r="AE25" s="1">
        <f t="shared" si="17"/>
        <v>0</v>
      </c>
      <c r="AF25" s="1"/>
      <c r="AG25" s="1">
        <f t="shared" si="18"/>
        <v>0</v>
      </c>
      <c r="AH25" s="6" t="str">
        <f t="shared" si="19"/>
        <v>-</v>
      </c>
      <c r="AI25" s="1">
        <f t="shared" si="20"/>
        <v>0</v>
      </c>
      <c r="AJ25" s="1" t="str">
        <f>IF(ISERROR(VLOOKUP(G25,Lookup!$J$93:$M$111,4,FALSE)),"NS",VLOOKUP(G25,Lookup!$J$93:$M$111,4,FALSE))</f>
        <v>NS</v>
      </c>
      <c r="AK25" s="1" t="str">
        <f t="shared" si="21"/>
        <v>NSNSNSNS</v>
      </c>
      <c r="AL25" s="1">
        <f>IF(D25="",0,IF(D25="Portable Def",3,VLOOKUP(AH25,Lookup!$B$3:$F$69,MATCH(F25,Lookup!$B$3:$F$3,0),FALSE)))</f>
        <v>0</v>
      </c>
      <c r="AM25" s="1">
        <f>IF(D25="Naval",0,IF(G25="",0,VLOOKUP(G25,Lookup!$J$93:$L$111,MATCH(AI25,Lookup!$J$93:$L$93,0),FALSE)))</f>
        <v>0</v>
      </c>
      <c r="AN25" s="1">
        <f>IF(H25="",0,VLOOKUP(H25,Lookup!$M$113:$O$128,MATCH(AI25,Lookup!$M$113:$O$113,0),FALSE))</f>
        <v>0</v>
      </c>
      <c r="AO25" s="1">
        <f>(IF(I25="",0,IF(AND(H25="Hvy W",I25="Hvy W"),0,VLOOKUP(I25,Lookup!$P$130:$R$137,MATCH(AI25,Lookup!$M$113:$O$113,0),FALSE))))</f>
        <v>0</v>
      </c>
      <c r="AP25" s="1">
        <f t="shared" si="22"/>
        <v>0</v>
      </c>
      <c r="AQ25" s="1">
        <f t="shared" si="23"/>
        <v>0</v>
      </c>
      <c r="AR25" s="1">
        <f t="shared" si="24"/>
        <v>0</v>
      </c>
      <c r="AS25" s="5">
        <f t="shared" si="25"/>
        <v>0</v>
      </c>
      <c r="AT25" s="1">
        <f t="shared" si="27"/>
        <v>0</v>
      </c>
      <c r="AU25" s="1">
        <f t="shared" si="26"/>
        <v>0</v>
      </c>
      <c r="AV25" s="1"/>
      <c r="AW25" s="1"/>
      <c r="AX25" s="1"/>
      <c r="AY25" s="1"/>
      <c r="AZ25" s="1"/>
      <c r="BA25" s="1"/>
    </row>
    <row r="26" spans="1:53" ht="16.5" customHeight="1" x14ac:dyDescent="0.2">
      <c r="A26" s="68"/>
      <c r="B26" s="75"/>
      <c r="C26" s="73"/>
      <c r="D26" s="73"/>
      <c r="E26" s="73"/>
      <c r="F26" s="73"/>
      <c r="G26" s="73"/>
      <c r="H26" s="73"/>
      <c r="I26" s="73"/>
      <c r="J26" s="76"/>
      <c r="K26" s="73"/>
      <c r="L26" s="54">
        <f t="shared" si="0"/>
        <v>0</v>
      </c>
      <c r="M26" s="55">
        <f t="shared" si="1"/>
        <v>0</v>
      </c>
      <c r="N26" s="55">
        <f t="shared" si="2"/>
        <v>0</v>
      </c>
      <c r="O26" s="56" t="str">
        <f t="shared" si="3"/>
        <v/>
      </c>
      <c r="P26" s="62" t="str">
        <f t="shared" si="4"/>
        <v/>
      </c>
      <c r="Q26" s="58"/>
      <c r="R26" s="59">
        <f t="shared" si="5"/>
        <v>4</v>
      </c>
      <c r="S26" s="60">
        <f t="shared" si="6"/>
        <v>0</v>
      </c>
      <c r="T26" s="61">
        <f t="shared" si="7"/>
        <v>0</v>
      </c>
      <c r="U26" s="61">
        <f t="shared" si="8"/>
        <v>0</v>
      </c>
      <c r="V26" s="61">
        <f t="shared" si="9"/>
        <v>0</v>
      </c>
      <c r="W26" s="59">
        <f t="shared" si="10"/>
        <v>0</v>
      </c>
      <c r="X26" s="1">
        <f t="shared" si="11"/>
        <v>0</v>
      </c>
      <c r="Y26" s="1">
        <f t="shared" si="12"/>
        <v>0</v>
      </c>
      <c r="Z26" s="1">
        <f t="shared" si="13"/>
        <v>0</v>
      </c>
      <c r="AA26" s="6">
        <f t="shared" si="14"/>
        <v>0</v>
      </c>
      <c r="AB26" s="1">
        <f t="shared" si="15"/>
        <v>0</v>
      </c>
      <c r="AC26" s="1">
        <f t="shared" si="16"/>
        <v>0</v>
      </c>
      <c r="AD26" s="1">
        <f>IF(D26="",0,VLOOKUP(D26,Lookup!$W$144:$X$165,2,FALSE))</f>
        <v>0</v>
      </c>
      <c r="AE26" s="1">
        <f t="shared" si="17"/>
        <v>0</v>
      </c>
      <c r="AF26" s="1"/>
      <c r="AG26" s="1">
        <f t="shared" si="18"/>
        <v>0</v>
      </c>
      <c r="AH26" s="6" t="str">
        <f t="shared" si="19"/>
        <v>-</v>
      </c>
      <c r="AI26" s="1">
        <f t="shared" si="20"/>
        <v>0</v>
      </c>
      <c r="AJ26" s="1" t="str">
        <f>IF(ISERROR(VLOOKUP(G26,Lookup!$J$93:$M$111,4,FALSE)),"NS",VLOOKUP(G26,Lookup!$J$93:$M$111,4,FALSE))</f>
        <v>NS</v>
      </c>
      <c r="AK26" s="1" t="str">
        <f t="shared" si="21"/>
        <v>NSNSNSNS</v>
      </c>
      <c r="AL26" s="1">
        <f>IF(D26="",0,IF(D26="Portable Def",3,VLOOKUP(AH26,Lookup!$B$3:$F$69,MATCH(F26,Lookup!$B$3:$F$3,0),FALSE)))</f>
        <v>0</v>
      </c>
      <c r="AM26" s="1">
        <f>IF(D26="Naval",0,IF(G26="",0,VLOOKUP(G26,Lookup!$J$93:$L$111,MATCH(AI26,Lookup!$J$93:$L$93,0),FALSE)))</f>
        <v>0</v>
      </c>
      <c r="AN26" s="1">
        <f>IF(H26="",0,VLOOKUP(H26,Lookup!$M$113:$O$128,MATCH(AI26,Lookup!$M$113:$O$113,0),FALSE))</f>
        <v>0</v>
      </c>
      <c r="AO26" s="1">
        <f>(IF(I26="",0,IF(AND(H26="Hvy W",I26="Hvy W"),0,VLOOKUP(I26,Lookup!$P$130:$R$137,MATCH(AI26,Lookup!$M$113:$O$113,0),FALSE))))</f>
        <v>0</v>
      </c>
      <c r="AP26" s="1">
        <f t="shared" si="22"/>
        <v>0</v>
      </c>
      <c r="AQ26" s="1">
        <f t="shared" si="23"/>
        <v>0</v>
      </c>
      <c r="AR26" s="1">
        <f t="shared" si="24"/>
        <v>0</v>
      </c>
      <c r="AS26" s="5">
        <f t="shared" si="25"/>
        <v>0</v>
      </c>
      <c r="AT26" s="1">
        <f t="shared" si="27"/>
        <v>0</v>
      </c>
      <c r="AU26" s="1">
        <f t="shared" si="26"/>
        <v>0</v>
      </c>
      <c r="AV26" s="1"/>
      <c r="AW26" s="1"/>
      <c r="AX26" s="1"/>
      <c r="AY26" s="1"/>
      <c r="AZ26" s="1"/>
      <c r="BA26" s="1"/>
    </row>
    <row r="27" spans="1:53" ht="16.5" customHeight="1" x14ac:dyDescent="0.2">
      <c r="A27" s="68"/>
      <c r="B27" s="75"/>
      <c r="C27" s="73"/>
      <c r="D27" s="73"/>
      <c r="E27" s="73"/>
      <c r="F27" s="73"/>
      <c r="G27" s="73"/>
      <c r="H27" s="73"/>
      <c r="I27" s="73"/>
      <c r="J27" s="76"/>
      <c r="K27" s="73"/>
      <c r="L27" s="54">
        <f t="shared" si="0"/>
        <v>0</v>
      </c>
      <c r="M27" s="55">
        <f t="shared" si="1"/>
        <v>0</v>
      </c>
      <c r="N27" s="55">
        <f t="shared" si="2"/>
        <v>0</v>
      </c>
      <c r="O27" s="56" t="str">
        <f t="shared" si="3"/>
        <v/>
      </c>
      <c r="P27" s="62" t="str">
        <f t="shared" si="4"/>
        <v/>
      </c>
      <c r="Q27" s="58"/>
      <c r="R27" s="59">
        <f t="shared" si="5"/>
        <v>4</v>
      </c>
      <c r="S27" s="60">
        <f t="shared" si="6"/>
        <v>0</v>
      </c>
      <c r="T27" s="61">
        <f t="shared" si="7"/>
        <v>0</v>
      </c>
      <c r="U27" s="61">
        <f t="shared" si="8"/>
        <v>0</v>
      </c>
      <c r="V27" s="61">
        <f t="shared" si="9"/>
        <v>0</v>
      </c>
      <c r="W27" s="59">
        <f t="shared" si="10"/>
        <v>0</v>
      </c>
      <c r="X27" s="1">
        <f t="shared" si="11"/>
        <v>0</v>
      </c>
      <c r="Y27" s="1">
        <f t="shared" si="12"/>
        <v>0</v>
      </c>
      <c r="Z27" s="1">
        <f t="shared" si="13"/>
        <v>0</v>
      </c>
      <c r="AA27" s="6">
        <f t="shared" si="14"/>
        <v>0</v>
      </c>
      <c r="AB27" s="1">
        <f t="shared" si="15"/>
        <v>0</v>
      </c>
      <c r="AC27" s="1">
        <f t="shared" si="16"/>
        <v>0</v>
      </c>
      <c r="AD27" s="1">
        <f>IF(D27="",0,VLOOKUP(D27,Lookup!$W$144:$X$165,2,FALSE))</f>
        <v>0</v>
      </c>
      <c r="AE27" s="1">
        <f t="shared" si="17"/>
        <v>0</v>
      </c>
      <c r="AF27" s="1"/>
      <c r="AG27" s="1">
        <f t="shared" si="18"/>
        <v>0</v>
      </c>
      <c r="AH27" s="6" t="str">
        <f t="shared" si="19"/>
        <v>-</v>
      </c>
      <c r="AI27" s="1">
        <f t="shared" si="20"/>
        <v>0</v>
      </c>
      <c r="AJ27" s="1" t="str">
        <f>IF(ISERROR(VLOOKUP(G27,Lookup!$J$93:$M$111,4,FALSE)),"NS",VLOOKUP(G27,Lookup!$J$93:$M$111,4,FALSE))</f>
        <v>NS</v>
      </c>
      <c r="AK27" s="1" t="str">
        <f t="shared" si="21"/>
        <v>NSNSNSNS</v>
      </c>
      <c r="AL27" s="1">
        <f>IF(D27="",0,IF(D27="Portable Def",3,VLOOKUP(AH27,Lookup!$B$3:$F$69,MATCH(F27,Lookup!$B$3:$F$3,0),FALSE)))</f>
        <v>0</v>
      </c>
      <c r="AM27" s="1">
        <f>IF(D27="Naval",0,IF(G27="",0,VLOOKUP(G27,Lookup!$J$93:$L$111,MATCH(AI27,Lookup!$J$93:$L$93,0),FALSE)))</f>
        <v>0</v>
      </c>
      <c r="AN27" s="1">
        <f>IF(H27="",0,VLOOKUP(H27,Lookup!$M$113:$O$128,MATCH(AI27,Lookup!$M$113:$O$113,0),FALSE))</f>
        <v>0</v>
      </c>
      <c r="AO27" s="1">
        <f>(IF(I27="",0,IF(AND(H27="Hvy W",I27="Hvy W"),0,VLOOKUP(I27,Lookup!$P$130:$R$137,MATCH(AI27,Lookup!$M$113:$O$113,0),FALSE))))</f>
        <v>0</v>
      </c>
      <c r="AP27" s="1">
        <f t="shared" si="22"/>
        <v>0</v>
      </c>
      <c r="AQ27" s="1">
        <f t="shared" si="23"/>
        <v>0</v>
      </c>
      <c r="AR27" s="1">
        <f t="shared" si="24"/>
        <v>0</v>
      </c>
      <c r="AS27" s="5">
        <f t="shared" si="25"/>
        <v>0</v>
      </c>
      <c r="AT27" s="1">
        <f t="shared" si="27"/>
        <v>0</v>
      </c>
      <c r="AU27" s="1">
        <f t="shared" si="26"/>
        <v>0</v>
      </c>
      <c r="AV27" s="1"/>
      <c r="AW27" s="1"/>
      <c r="AX27" s="1"/>
      <c r="AY27" s="1"/>
      <c r="AZ27" s="1"/>
      <c r="BA27" s="1"/>
    </row>
    <row r="28" spans="1:53" ht="16.5" customHeight="1" x14ac:dyDescent="0.2">
      <c r="A28" s="68"/>
      <c r="B28" s="71"/>
      <c r="C28" s="72"/>
      <c r="D28" s="72"/>
      <c r="E28" s="72"/>
      <c r="F28" s="72"/>
      <c r="G28" s="73"/>
      <c r="H28" s="72"/>
      <c r="I28" s="72"/>
      <c r="J28" s="74"/>
      <c r="K28" s="73"/>
      <c r="L28" s="54">
        <f t="shared" si="0"/>
        <v>0</v>
      </c>
      <c r="M28" s="55">
        <f t="shared" si="1"/>
        <v>0</v>
      </c>
      <c r="N28" s="55">
        <f t="shared" si="2"/>
        <v>0</v>
      </c>
      <c r="O28" s="56" t="str">
        <f t="shared" si="3"/>
        <v/>
      </c>
      <c r="P28" s="62" t="str">
        <f t="shared" si="4"/>
        <v/>
      </c>
      <c r="Q28" s="58"/>
      <c r="R28" s="59">
        <f t="shared" si="5"/>
        <v>4</v>
      </c>
      <c r="S28" s="60">
        <f t="shared" si="6"/>
        <v>0</v>
      </c>
      <c r="T28" s="61">
        <f t="shared" si="7"/>
        <v>0</v>
      </c>
      <c r="U28" s="61">
        <f t="shared" si="8"/>
        <v>0</v>
      </c>
      <c r="V28" s="61">
        <f t="shared" si="9"/>
        <v>0</v>
      </c>
      <c r="W28" s="59">
        <f t="shared" si="10"/>
        <v>0</v>
      </c>
      <c r="X28" s="1">
        <f t="shared" si="11"/>
        <v>0</v>
      </c>
      <c r="Y28" s="1">
        <f t="shared" si="12"/>
        <v>0</v>
      </c>
      <c r="Z28" s="1">
        <f t="shared" si="13"/>
        <v>0</v>
      </c>
      <c r="AA28" s="6">
        <f t="shared" si="14"/>
        <v>0</v>
      </c>
      <c r="AB28" s="1">
        <f t="shared" si="15"/>
        <v>0</v>
      </c>
      <c r="AC28" s="1">
        <f t="shared" si="16"/>
        <v>0</v>
      </c>
      <c r="AD28" s="1">
        <f>IF(D28="",0,VLOOKUP(D28,Lookup!$W$144:$X$165,2,FALSE))</f>
        <v>0</v>
      </c>
      <c r="AE28" s="1">
        <f t="shared" si="17"/>
        <v>0</v>
      </c>
      <c r="AF28" s="1"/>
      <c r="AG28" s="1">
        <f t="shared" si="18"/>
        <v>0</v>
      </c>
      <c r="AH28" s="6" t="str">
        <f t="shared" si="19"/>
        <v>-</v>
      </c>
      <c r="AI28" s="1">
        <f t="shared" si="20"/>
        <v>0</v>
      </c>
      <c r="AJ28" s="1" t="str">
        <f>IF(ISERROR(VLOOKUP(G28,Lookup!$J$93:$M$111,4,FALSE)),"NS",VLOOKUP(G28,Lookup!$J$93:$M$111,4,FALSE))</f>
        <v>NS</v>
      </c>
      <c r="AK28" s="1" t="str">
        <f t="shared" si="21"/>
        <v>NSNSNSNS</v>
      </c>
      <c r="AL28" s="1">
        <f>IF(D28="",0,IF(D28="Portable Def",3,VLOOKUP(AH28,Lookup!$B$3:$F$69,MATCH(F28,Lookup!$B$3:$F$3,0),FALSE)))</f>
        <v>0</v>
      </c>
      <c r="AM28" s="1">
        <f>IF(D28="Naval",0,IF(G28="",0,VLOOKUP(G28,Lookup!$J$93:$L$111,MATCH(AI28,Lookup!$J$93:$L$93,0),FALSE)))</f>
        <v>0</v>
      </c>
      <c r="AN28" s="1">
        <f>IF(H28="",0,VLOOKUP(H28,Lookup!$M$113:$O$128,MATCH(AI28,Lookup!$M$113:$O$113,0),FALSE))</f>
        <v>0</v>
      </c>
      <c r="AO28" s="1">
        <f>(IF(I28="",0,IF(AND(H28="Hvy W",I28="Hvy W"),0,VLOOKUP(I28,Lookup!$P$130:$R$137,MATCH(AI28,Lookup!$M$113:$O$113,0),FALSE))))</f>
        <v>0</v>
      </c>
      <c r="AP28" s="1">
        <f t="shared" si="22"/>
        <v>0</v>
      </c>
      <c r="AQ28" s="1">
        <f t="shared" si="23"/>
        <v>0</v>
      </c>
      <c r="AR28" s="1">
        <f t="shared" si="24"/>
        <v>0</v>
      </c>
      <c r="AS28" s="5">
        <f t="shared" si="25"/>
        <v>0</v>
      </c>
      <c r="AT28" s="1">
        <f t="shared" si="27"/>
        <v>0</v>
      </c>
      <c r="AU28" s="1">
        <f t="shared" si="26"/>
        <v>0</v>
      </c>
      <c r="AV28" s="1"/>
      <c r="AW28" s="1"/>
      <c r="AX28" s="1"/>
      <c r="AY28" s="1"/>
      <c r="AZ28" s="1"/>
      <c r="BA28" s="1"/>
    </row>
    <row r="29" spans="1:53" ht="16.5" customHeight="1" x14ac:dyDescent="0.2">
      <c r="A29" s="68"/>
      <c r="B29" s="75"/>
      <c r="C29" s="73"/>
      <c r="D29" s="73"/>
      <c r="E29" s="73"/>
      <c r="F29" s="73"/>
      <c r="G29" s="73"/>
      <c r="H29" s="73"/>
      <c r="I29" s="73"/>
      <c r="J29" s="76"/>
      <c r="K29" s="73"/>
      <c r="L29" s="54">
        <f t="shared" si="0"/>
        <v>0</v>
      </c>
      <c r="M29" s="55">
        <f t="shared" si="1"/>
        <v>0</v>
      </c>
      <c r="N29" s="55">
        <f t="shared" si="2"/>
        <v>0</v>
      </c>
      <c r="O29" s="56" t="str">
        <f t="shared" si="3"/>
        <v/>
      </c>
      <c r="P29" s="62" t="str">
        <f t="shared" si="4"/>
        <v/>
      </c>
      <c r="Q29" s="58"/>
      <c r="R29" s="59">
        <f t="shared" si="5"/>
        <v>4</v>
      </c>
      <c r="S29" s="60">
        <f t="shared" si="6"/>
        <v>0</v>
      </c>
      <c r="T29" s="61">
        <f t="shared" si="7"/>
        <v>0</v>
      </c>
      <c r="U29" s="61">
        <f t="shared" si="8"/>
        <v>0</v>
      </c>
      <c r="V29" s="61">
        <f t="shared" si="9"/>
        <v>0</v>
      </c>
      <c r="W29" s="59">
        <f t="shared" si="10"/>
        <v>0</v>
      </c>
      <c r="X29" s="1">
        <f t="shared" si="11"/>
        <v>0</v>
      </c>
      <c r="Y29" s="1">
        <f t="shared" si="12"/>
        <v>0</v>
      </c>
      <c r="Z29" s="1">
        <f t="shared" si="13"/>
        <v>0</v>
      </c>
      <c r="AA29" s="6">
        <f t="shared" si="14"/>
        <v>0</v>
      </c>
      <c r="AB29" s="1">
        <f t="shared" si="15"/>
        <v>0</v>
      </c>
      <c r="AC29" s="1">
        <f t="shared" si="16"/>
        <v>0</v>
      </c>
      <c r="AD29" s="1">
        <f>IF(D29="",0,VLOOKUP(D29,Lookup!$W$144:$X$165,2,FALSE))</f>
        <v>0</v>
      </c>
      <c r="AE29" s="1">
        <f t="shared" si="17"/>
        <v>0</v>
      </c>
      <c r="AF29" s="1"/>
      <c r="AG29" s="1">
        <f t="shared" si="18"/>
        <v>0</v>
      </c>
      <c r="AH29" s="6" t="str">
        <f t="shared" si="19"/>
        <v>-</v>
      </c>
      <c r="AI29" s="1">
        <f t="shared" si="20"/>
        <v>0</v>
      </c>
      <c r="AJ29" s="1" t="str">
        <f>IF(ISERROR(VLOOKUP(G29,Lookup!$J$93:$M$111,4,FALSE)),"NS",VLOOKUP(G29,Lookup!$J$93:$M$111,4,FALSE))</f>
        <v>NS</v>
      </c>
      <c r="AK29" s="1" t="str">
        <f t="shared" si="21"/>
        <v>NSNSNSNS</v>
      </c>
      <c r="AL29" s="1">
        <f>IF(D29="",0,IF(D29="Portable Def",3,VLOOKUP(AH29,Lookup!$B$3:$F$69,MATCH(F29,Lookup!$B$3:$F$3,0),FALSE)))</f>
        <v>0</v>
      </c>
      <c r="AM29" s="1">
        <f>IF(D29="Naval",0,IF(G29="",0,VLOOKUP(G29,Lookup!$J$93:$L$111,MATCH(AI29,Lookup!$J$93:$L$93,0),FALSE)))</f>
        <v>0</v>
      </c>
      <c r="AN29" s="1">
        <f>IF(H29="",0,VLOOKUP(H29,Lookup!$M$113:$O$128,MATCH(AI29,Lookup!$M$113:$O$113,0),FALSE))</f>
        <v>0</v>
      </c>
      <c r="AO29" s="1">
        <f>(IF(I29="",0,IF(AND(H29="Hvy W",I29="Hvy W"),0,VLOOKUP(I29,Lookup!$P$130:$R$137,MATCH(AI29,Lookup!$M$113:$O$113,0),FALSE))))</f>
        <v>0</v>
      </c>
      <c r="AP29" s="1">
        <f t="shared" si="22"/>
        <v>0</v>
      </c>
      <c r="AQ29" s="1">
        <f t="shared" si="23"/>
        <v>0</v>
      </c>
      <c r="AR29" s="1">
        <f t="shared" si="24"/>
        <v>0</v>
      </c>
      <c r="AS29" s="5">
        <f t="shared" si="25"/>
        <v>0</v>
      </c>
      <c r="AT29" s="1">
        <f t="shared" si="27"/>
        <v>0</v>
      </c>
      <c r="AU29" s="1">
        <f t="shared" si="26"/>
        <v>0</v>
      </c>
      <c r="AV29" s="1"/>
      <c r="AW29" s="1"/>
      <c r="AX29" s="1"/>
      <c r="AY29" s="1"/>
      <c r="AZ29" s="1"/>
      <c r="BA29" s="1"/>
    </row>
    <row r="30" spans="1:53" ht="16.5" customHeight="1" x14ac:dyDescent="0.2">
      <c r="A30" s="68"/>
      <c r="B30" s="75"/>
      <c r="C30" s="73"/>
      <c r="D30" s="73"/>
      <c r="E30" s="73"/>
      <c r="F30" s="73"/>
      <c r="G30" s="73"/>
      <c r="H30" s="73"/>
      <c r="I30" s="73"/>
      <c r="J30" s="76"/>
      <c r="K30" s="73"/>
      <c r="L30" s="54">
        <f t="shared" si="0"/>
        <v>0</v>
      </c>
      <c r="M30" s="55">
        <f t="shared" si="1"/>
        <v>0</v>
      </c>
      <c r="N30" s="55">
        <f t="shared" si="2"/>
        <v>0</v>
      </c>
      <c r="O30" s="56" t="str">
        <f t="shared" si="3"/>
        <v/>
      </c>
      <c r="P30" s="62" t="str">
        <f t="shared" si="4"/>
        <v/>
      </c>
      <c r="Q30" s="58"/>
      <c r="R30" s="59">
        <f t="shared" si="5"/>
        <v>4</v>
      </c>
      <c r="S30" s="60">
        <f t="shared" si="6"/>
        <v>0</v>
      </c>
      <c r="T30" s="61">
        <f t="shared" si="7"/>
        <v>0</v>
      </c>
      <c r="U30" s="61">
        <f t="shared" si="8"/>
        <v>0</v>
      </c>
      <c r="V30" s="61">
        <f t="shared" si="9"/>
        <v>0</v>
      </c>
      <c r="W30" s="59">
        <f t="shared" si="10"/>
        <v>0</v>
      </c>
      <c r="X30" s="1">
        <f t="shared" si="11"/>
        <v>0</v>
      </c>
      <c r="Y30" s="1">
        <f t="shared" si="12"/>
        <v>0</v>
      </c>
      <c r="Z30" s="1">
        <f t="shared" si="13"/>
        <v>0</v>
      </c>
      <c r="AA30" s="6">
        <f t="shared" si="14"/>
        <v>0</v>
      </c>
      <c r="AB30" s="1">
        <f t="shared" si="15"/>
        <v>0</v>
      </c>
      <c r="AC30" s="1">
        <f t="shared" si="16"/>
        <v>0</v>
      </c>
      <c r="AD30" s="1">
        <f>IF(D30="",0,VLOOKUP(D30,Lookup!$W$144:$X$165,2,FALSE))</f>
        <v>0</v>
      </c>
      <c r="AE30" s="1">
        <f t="shared" si="17"/>
        <v>0</v>
      </c>
      <c r="AF30" s="1"/>
      <c r="AG30" s="1">
        <f t="shared" si="18"/>
        <v>0</v>
      </c>
      <c r="AH30" s="6" t="str">
        <f t="shared" si="19"/>
        <v>-</v>
      </c>
      <c r="AI30" s="1">
        <f t="shared" si="20"/>
        <v>0</v>
      </c>
      <c r="AJ30" s="1" t="str">
        <f>IF(ISERROR(VLOOKUP(G30,Lookup!$J$93:$M$111,4,FALSE)),"NS",VLOOKUP(G30,Lookup!$J$93:$M$111,4,FALSE))</f>
        <v>NS</v>
      </c>
      <c r="AK30" s="1" t="str">
        <f t="shared" si="21"/>
        <v>NSNSNSNS</v>
      </c>
      <c r="AL30" s="1">
        <f>IF(D30="",0,IF(D30="Portable Def",3,VLOOKUP(AH30,Lookup!$B$3:$F$69,MATCH(F30,Lookup!$B$3:$F$3,0),FALSE)))</f>
        <v>0</v>
      </c>
      <c r="AM30" s="1">
        <f>IF(D30="Naval",0,IF(G30="",0,VLOOKUP(G30,Lookup!$J$93:$L$111,MATCH(AI30,Lookup!$J$93:$L$93,0),FALSE)))</f>
        <v>0</v>
      </c>
      <c r="AN30" s="1">
        <f>IF(H30="",0,VLOOKUP(H30,Lookup!$M$113:$O$128,MATCH(AI30,Lookup!$M$113:$O$113,0),FALSE))</f>
        <v>0</v>
      </c>
      <c r="AO30" s="1">
        <f>(IF(I30="",0,IF(AND(H30="Hvy W",I30="Hvy W"),0,VLOOKUP(I30,Lookup!$P$130:$R$137,MATCH(AI30,Lookup!$M$113:$O$113,0),FALSE))))</f>
        <v>0</v>
      </c>
      <c r="AP30" s="1">
        <f t="shared" si="22"/>
        <v>0</v>
      </c>
      <c r="AQ30" s="1">
        <f t="shared" si="23"/>
        <v>0</v>
      </c>
      <c r="AR30" s="1">
        <f t="shared" si="24"/>
        <v>0</v>
      </c>
      <c r="AS30" s="5">
        <f t="shared" si="25"/>
        <v>0</v>
      </c>
      <c r="AT30" s="1">
        <f t="shared" si="27"/>
        <v>0</v>
      </c>
      <c r="AU30" s="1">
        <f t="shared" si="26"/>
        <v>0</v>
      </c>
      <c r="AV30" s="1"/>
      <c r="AW30" s="1"/>
      <c r="AX30" s="1"/>
      <c r="AY30" s="1"/>
      <c r="AZ30" s="1"/>
      <c r="BA30" s="1"/>
    </row>
    <row r="31" spans="1:53" ht="16.5" customHeight="1" x14ac:dyDescent="0.2">
      <c r="A31" s="68"/>
      <c r="B31" s="77"/>
      <c r="C31" s="73"/>
      <c r="D31" s="73"/>
      <c r="E31" s="73"/>
      <c r="F31" s="73"/>
      <c r="G31" s="73"/>
      <c r="H31" s="73"/>
      <c r="I31" s="73"/>
      <c r="J31" s="73"/>
      <c r="K31" s="73"/>
      <c r="L31" s="54">
        <f t="shared" si="0"/>
        <v>0</v>
      </c>
      <c r="M31" s="55">
        <f t="shared" si="1"/>
        <v>0</v>
      </c>
      <c r="N31" s="55">
        <f t="shared" si="2"/>
        <v>0</v>
      </c>
      <c r="O31" s="56" t="str">
        <f t="shared" si="3"/>
        <v/>
      </c>
      <c r="P31" s="62" t="str">
        <f t="shared" si="4"/>
        <v/>
      </c>
      <c r="Q31" s="58"/>
      <c r="R31" s="59">
        <f t="shared" si="5"/>
        <v>4</v>
      </c>
      <c r="S31" s="60">
        <f t="shared" si="6"/>
        <v>0</v>
      </c>
      <c r="T31" s="61">
        <f t="shared" si="7"/>
        <v>0</v>
      </c>
      <c r="U31" s="61">
        <f t="shared" si="8"/>
        <v>0</v>
      </c>
      <c r="V31" s="61">
        <f t="shared" si="9"/>
        <v>0</v>
      </c>
      <c r="W31" s="59">
        <f t="shared" si="10"/>
        <v>0</v>
      </c>
      <c r="X31" s="1">
        <f t="shared" si="11"/>
        <v>0</v>
      </c>
      <c r="Y31" s="1">
        <f t="shared" si="12"/>
        <v>0</v>
      </c>
      <c r="Z31" s="1">
        <f t="shared" si="13"/>
        <v>0</v>
      </c>
      <c r="AA31" s="6">
        <f t="shared" si="14"/>
        <v>0</v>
      </c>
      <c r="AB31" s="1">
        <f t="shared" si="15"/>
        <v>0</v>
      </c>
      <c r="AC31" s="1">
        <f t="shared" si="16"/>
        <v>0</v>
      </c>
      <c r="AD31" s="1">
        <f>IF(D31="",0,VLOOKUP(D31,Lookup!$W$144:$X$165,2,FALSE))</f>
        <v>0</v>
      </c>
      <c r="AE31" s="1">
        <f t="shared" si="17"/>
        <v>0</v>
      </c>
      <c r="AF31" s="1"/>
      <c r="AG31" s="1">
        <f t="shared" si="18"/>
        <v>0</v>
      </c>
      <c r="AH31" s="6" t="str">
        <f t="shared" si="19"/>
        <v>-</v>
      </c>
      <c r="AI31" s="1">
        <f t="shared" si="20"/>
        <v>0</v>
      </c>
      <c r="AJ31" s="1" t="str">
        <f>IF(ISERROR(VLOOKUP(G31,Lookup!$J$93:$M$111,4,FALSE)),"NS",VLOOKUP(G31,Lookup!$J$93:$M$111,4,FALSE))</f>
        <v>NS</v>
      </c>
      <c r="AK31" s="1" t="str">
        <f t="shared" si="21"/>
        <v>NSNSNSNS</v>
      </c>
      <c r="AL31" s="1">
        <f>IF(D31="",0,IF(D31="Portable Def",3,VLOOKUP(AH31,Lookup!$B$3:$F$69,MATCH(F31,Lookup!$B$3:$F$3,0),FALSE)))</f>
        <v>0</v>
      </c>
      <c r="AM31" s="1">
        <f>IF(D31="Naval",0,IF(G31="",0,VLOOKUP(G31,Lookup!$J$93:$L$111,MATCH(AI31,Lookup!$J$93:$L$93,0),FALSE)))</f>
        <v>0</v>
      </c>
      <c r="AN31" s="1">
        <f>IF(H31="",0,VLOOKUP(H31,Lookup!$M$113:$O$128,MATCH(AI31,Lookup!$M$113:$O$113,0),FALSE))</f>
        <v>0</v>
      </c>
      <c r="AO31" s="1">
        <f>(IF(I31="",0,IF(AND(H31="Hvy W",I31="Hvy W"),0,VLOOKUP(I31,Lookup!$P$130:$R$137,MATCH(AI31,Lookup!$M$113:$O$113,0),FALSE))))</f>
        <v>0</v>
      </c>
      <c r="AP31" s="1">
        <f t="shared" si="22"/>
        <v>0</v>
      </c>
      <c r="AQ31" s="1">
        <f t="shared" si="23"/>
        <v>0</v>
      </c>
      <c r="AR31" s="1">
        <f t="shared" si="24"/>
        <v>0</v>
      </c>
      <c r="AS31" s="5">
        <f t="shared" si="25"/>
        <v>0</v>
      </c>
      <c r="AT31" s="1">
        <f t="shared" si="27"/>
        <v>0</v>
      </c>
      <c r="AU31" s="1">
        <f t="shared" si="26"/>
        <v>0</v>
      </c>
      <c r="AV31" s="1"/>
      <c r="AW31" s="1"/>
      <c r="AX31" s="1"/>
      <c r="AY31" s="1"/>
      <c r="AZ31" s="1"/>
      <c r="BA31" s="1"/>
    </row>
    <row r="32" spans="1:53" ht="16.5" customHeight="1" x14ac:dyDescent="0.2">
      <c r="A32" s="68"/>
      <c r="B32" s="78"/>
      <c r="C32" s="78"/>
      <c r="D32" s="78"/>
      <c r="E32" s="78"/>
      <c r="F32" s="78"/>
      <c r="G32" s="78"/>
      <c r="H32" s="78"/>
      <c r="I32" s="78"/>
      <c r="J32" s="78"/>
      <c r="K32" s="79"/>
      <c r="L32" s="54">
        <f t="shared" si="0"/>
        <v>0</v>
      </c>
      <c r="M32" s="55">
        <f t="shared" si="1"/>
        <v>0</v>
      </c>
      <c r="N32" s="55">
        <f t="shared" si="2"/>
        <v>0</v>
      </c>
      <c r="O32" s="56" t="str">
        <f t="shared" si="3"/>
        <v/>
      </c>
      <c r="P32" s="62" t="str">
        <f t="shared" si="4"/>
        <v/>
      </c>
      <c r="Q32" s="58"/>
      <c r="R32" s="59">
        <f t="shared" si="5"/>
        <v>4</v>
      </c>
      <c r="S32" s="60">
        <f t="shared" si="6"/>
        <v>0</v>
      </c>
      <c r="T32" s="61">
        <f t="shared" si="7"/>
        <v>0</v>
      </c>
      <c r="U32" s="61">
        <f t="shared" si="8"/>
        <v>0</v>
      </c>
      <c r="V32" s="61">
        <f t="shared" si="9"/>
        <v>0</v>
      </c>
      <c r="W32" s="59">
        <f t="shared" si="10"/>
        <v>0</v>
      </c>
      <c r="X32" s="1">
        <f t="shared" si="11"/>
        <v>0</v>
      </c>
      <c r="Y32" s="1">
        <f t="shared" si="12"/>
        <v>0</v>
      </c>
      <c r="Z32" s="1">
        <f t="shared" si="13"/>
        <v>0</v>
      </c>
      <c r="AA32" s="6">
        <f t="shared" si="14"/>
        <v>0</v>
      </c>
      <c r="AB32" s="1">
        <f t="shared" si="15"/>
        <v>0</v>
      </c>
      <c r="AC32" s="1">
        <f t="shared" si="16"/>
        <v>0</v>
      </c>
      <c r="AD32" s="1">
        <f>IF(D32="",0,VLOOKUP(D32,Lookup!$W$144:$X$165,2,FALSE))</f>
        <v>0</v>
      </c>
      <c r="AE32" s="1">
        <f t="shared" si="17"/>
        <v>0</v>
      </c>
      <c r="AF32" s="1"/>
      <c r="AG32" s="1">
        <f t="shared" si="18"/>
        <v>0</v>
      </c>
      <c r="AH32" s="6" t="str">
        <f t="shared" si="19"/>
        <v>-</v>
      </c>
      <c r="AI32" s="1">
        <f t="shared" si="20"/>
        <v>0</v>
      </c>
      <c r="AJ32" s="1" t="str">
        <f>IF(ISERROR(VLOOKUP(G32,Lookup!$J$93:$M$111,4,FALSE)),"NS",VLOOKUP(G32,Lookup!$J$93:$M$111,4,FALSE))</f>
        <v>NS</v>
      </c>
      <c r="AK32" s="1" t="str">
        <f t="shared" si="21"/>
        <v>NSNSNSNS</v>
      </c>
      <c r="AL32" s="1">
        <f>IF(D32="",0,IF(D32="Portable Def",3,VLOOKUP(AH32,Lookup!$B$3:$F$69,MATCH(F32,Lookup!$B$3:$F$3,0),FALSE)))</f>
        <v>0</v>
      </c>
      <c r="AM32" s="1">
        <f>IF(D32="Naval",0,IF(G32="",0,VLOOKUP(G32,Lookup!$J$93:$L$111,MATCH(AI32,Lookup!$J$93:$L$93,0),FALSE)))</f>
        <v>0</v>
      </c>
      <c r="AN32" s="1">
        <f>IF(H32="",0,VLOOKUP(H32,Lookup!$M$113:$O$128,MATCH(AI32,Lookup!$M$113:$O$113,0),FALSE))</f>
        <v>0</v>
      </c>
      <c r="AO32" s="1">
        <f>(IF(I32="",0,IF(AND(H32="Hvy W",I32="Hvy W"),0,VLOOKUP(I32,Lookup!$P$130:$R$137,MATCH(AI32,Lookup!$M$113:$O$113,0),FALSE))))</f>
        <v>0</v>
      </c>
      <c r="AP32" s="1">
        <f t="shared" si="22"/>
        <v>0</v>
      </c>
      <c r="AQ32" s="1">
        <f t="shared" si="23"/>
        <v>0</v>
      </c>
      <c r="AR32" s="1">
        <f t="shared" si="24"/>
        <v>0</v>
      </c>
      <c r="AS32" s="5">
        <f t="shared" si="25"/>
        <v>0</v>
      </c>
      <c r="AT32" s="1">
        <f t="shared" si="27"/>
        <v>0</v>
      </c>
      <c r="AU32" s="1">
        <f t="shared" si="26"/>
        <v>0</v>
      </c>
      <c r="AV32" s="1"/>
      <c r="AW32" s="1"/>
      <c r="AX32" s="1"/>
      <c r="AY32" s="1"/>
      <c r="AZ32" s="1"/>
      <c r="BA32" s="1"/>
    </row>
    <row r="33" spans="1:53" ht="16.5" customHeight="1" x14ac:dyDescent="0.2">
      <c r="A33" s="68"/>
      <c r="B33" s="78"/>
      <c r="C33" s="78"/>
      <c r="D33" s="78"/>
      <c r="E33" s="78"/>
      <c r="F33" s="78"/>
      <c r="G33" s="78"/>
      <c r="H33" s="78"/>
      <c r="I33" s="78"/>
      <c r="J33" s="78"/>
      <c r="K33" s="79"/>
      <c r="L33" s="54">
        <f t="shared" si="0"/>
        <v>0</v>
      </c>
      <c r="M33" s="55">
        <f t="shared" si="1"/>
        <v>0</v>
      </c>
      <c r="N33" s="55">
        <f t="shared" si="2"/>
        <v>0</v>
      </c>
      <c r="O33" s="56" t="str">
        <f t="shared" si="3"/>
        <v/>
      </c>
      <c r="P33" s="62" t="str">
        <f t="shared" si="4"/>
        <v/>
      </c>
      <c r="Q33" s="58"/>
      <c r="R33" s="59">
        <f t="shared" si="5"/>
        <v>4</v>
      </c>
      <c r="S33" s="60">
        <f t="shared" si="6"/>
        <v>0</v>
      </c>
      <c r="T33" s="61">
        <f t="shared" si="7"/>
        <v>0</v>
      </c>
      <c r="U33" s="61">
        <f t="shared" si="8"/>
        <v>0</v>
      </c>
      <c r="V33" s="61">
        <f t="shared" si="9"/>
        <v>0</v>
      </c>
      <c r="W33" s="59">
        <f t="shared" si="10"/>
        <v>0</v>
      </c>
      <c r="X33" s="1">
        <f t="shared" si="11"/>
        <v>0</v>
      </c>
      <c r="Y33" s="1">
        <f t="shared" si="12"/>
        <v>0</v>
      </c>
      <c r="Z33" s="1">
        <f t="shared" si="13"/>
        <v>0</v>
      </c>
      <c r="AA33" s="6">
        <f t="shared" si="14"/>
        <v>0</v>
      </c>
      <c r="AB33" s="1">
        <f t="shared" si="15"/>
        <v>0</v>
      </c>
      <c r="AC33" s="1">
        <f t="shared" si="16"/>
        <v>0</v>
      </c>
      <c r="AD33" s="1">
        <f>IF(D33="",0,VLOOKUP(D33,Lookup!$W$144:$X$165,2,FALSE))</f>
        <v>0</v>
      </c>
      <c r="AE33" s="1">
        <f t="shared" si="17"/>
        <v>0</v>
      </c>
      <c r="AF33" s="1"/>
      <c r="AG33" s="1">
        <f t="shared" si="18"/>
        <v>0</v>
      </c>
      <c r="AH33" s="6" t="str">
        <f t="shared" si="19"/>
        <v>-</v>
      </c>
      <c r="AI33" s="1">
        <f t="shared" si="20"/>
        <v>0</v>
      </c>
      <c r="AJ33" s="1" t="str">
        <f>IF(ISERROR(VLOOKUP(G33,Lookup!$J$93:$M$111,4,FALSE)),"NS",VLOOKUP(G33,Lookup!$J$93:$M$111,4,FALSE))</f>
        <v>NS</v>
      </c>
      <c r="AK33" s="1" t="str">
        <f t="shared" si="21"/>
        <v>NSNSNSNS</v>
      </c>
      <c r="AL33" s="1">
        <f>IF(D33="",0,IF(D33="Portable Def",3,VLOOKUP(AH33,Lookup!$B$3:$F$69,MATCH(F33,Lookup!$B$3:$F$3,0),FALSE)))</f>
        <v>0</v>
      </c>
      <c r="AM33" s="1">
        <f>IF(D33="Naval",0,IF(G33="",0,VLOOKUP(G33,Lookup!$J$93:$L$111,MATCH(AI33,Lookup!$J$93:$L$93,0),FALSE)))</f>
        <v>0</v>
      </c>
      <c r="AN33" s="1">
        <f>IF(H33="",0,VLOOKUP(H33,Lookup!$M$113:$O$128,MATCH(AI33,Lookup!$M$113:$O$113,0),FALSE))</f>
        <v>0</v>
      </c>
      <c r="AO33" s="1">
        <f>(IF(I33="",0,IF(AND(H33="Hvy W",I33="Hvy W"),0,VLOOKUP(I33,Lookup!$P$130:$R$137,MATCH(AI33,Lookup!$M$113:$O$113,0),FALSE))))</f>
        <v>0</v>
      </c>
      <c r="AP33" s="1">
        <f t="shared" si="22"/>
        <v>0</v>
      </c>
      <c r="AQ33" s="1">
        <f t="shared" si="23"/>
        <v>0</v>
      </c>
      <c r="AR33" s="1">
        <f t="shared" si="24"/>
        <v>0</v>
      </c>
      <c r="AS33" s="5">
        <f t="shared" si="25"/>
        <v>0</v>
      </c>
      <c r="AT33" s="1">
        <f t="shared" si="27"/>
        <v>0</v>
      </c>
      <c r="AU33" s="1">
        <f t="shared" si="26"/>
        <v>0</v>
      </c>
      <c r="AV33" s="1"/>
      <c r="AW33" s="1"/>
      <c r="AX33" s="1"/>
      <c r="AY33" s="1"/>
      <c r="AZ33" s="1"/>
      <c r="BA33" s="1"/>
    </row>
    <row r="34" spans="1:53" ht="16.5" customHeight="1" x14ac:dyDescent="0.2">
      <c r="A34" s="68"/>
      <c r="B34" s="78"/>
      <c r="C34" s="78"/>
      <c r="D34" s="78"/>
      <c r="E34" s="78"/>
      <c r="F34" s="78"/>
      <c r="G34" s="78"/>
      <c r="H34" s="78"/>
      <c r="I34" s="78"/>
      <c r="J34" s="78"/>
      <c r="K34" s="79"/>
      <c r="L34" s="54">
        <f t="shared" si="0"/>
        <v>0</v>
      </c>
      <c r="M34" s="55">
        <f t="shared" si="1"/>
        <v>0</v>
      </c>
      <c r="N34" s="55">
        <f t="shared" si="2"/>
        <v>0</v>
      </c>
      <c r="O34" s="56" t="str">
        <f t="shared" si="3"/>
        <v/>
      </c>
      <c r="P34" s="62" t="str">
        <f t="shared" si="4"/>
        <v/>
      </c>
      <c r="Q34" s="58"/>
      <c r="R34" s="59">
        <f t="shared" si="5"/>
        <v>4</v>
      </c>
      <c r="S34" s="60">
        <f t="shared" si="6"/>
        <v>0</v>
      </c>
      <c r="T34" s="61">
        <f t="shared" si="7"/>
        <v>0</v>
      </c>
      <c r="U34" s="61">
        <f t="shared" si="8"/>
        <v>0</v>
      </c>
      <c r="V34" s="61">
        <f t="shared" si="9"/>
        <v>0</v>
      </c>
      <c r="W34" s="59">
        <f t="shared" si="10"/>
        <v>0</v>
      </c>
      <c r="X34" s="1">
        <f t="shared" si="11"/>
        <v>0</v>
      </c>
      <c r="Y34" s="1">
        <f t="shared" si="12"/>
        <v>0</v>
      </c>
      <c r="Z34" s="1">
        <f t="shared" si="13"/>
        <v>0</v>
      </c>
      <c r="AA34" s="6">
        <f t="shared" si="14"/>
        <v>0</v>
      </c>
      <c r="AB34" s="1">
        <f t="shared" si="15"/>
        <v>0</v>
      </c>
      <c r="AC34" s="1">
        <f t="shared" si="16"/>
        <v>0</v>
      </c>
      <c r="AD34" s="1">
        <f>IF(D34="",0,VLOOKUP(D34,Lookup!$W$144:$X$165,2,FALSE))</f>
        <v>0</v>
      </c>
      <c r="AE34" s="1">
        <f t="shared" si="17"/>
        <v>0</v>
      </c>
      <c r="AF34" s="1"/>
      <c r="AG34" s="1">
        <f t="shared" si="18"/>
        <v>0</v>
      </c>
      <c r="AH34" s="6" t="str">
        <f t="shared" si="19"/>
        <v>-</v>
      </c>
      <c r="AI34" s="1">
        <f t="shared" si="20"/>
        <v>0</v>
      </c>
      <c r="AJ34" s="1" t="str">
        <f>IF(ISERROR(VLOOKUP(G34,Lookup!$J$93:$M$111,4,FALSE)),"NS",VLOOKUP(G34,Lookup!$J$93:$M$111,4,FALSE))</f>
        <v>NS</v>
      </c>
      <c r="AK34" s="1" t="str">
        <f t="shared" si="21"/>
        <v>NSNSNSNS</v>
      </c>
      <c r="AL34" s="1">
        <f>IF(D34="",0,IF(D34="Portable Def",3,VLOOKUP(AH34,Lookup!$B$3:$F$69,MATCH(F34,Lookup!$B$3:$F$3,0),FALSE)))</f>
        <v>0</v>
      </c>
      <c r="AM34" s="1">
        <f>IF(D34="Naval",0,IF(G34="",0,VLOOKUP(G34,Lookup!$J$93:$L$111,MATCH(AI34,Lookup!$J$93:$L$93,0),FALSE)))</f>
        <v>0</v>
      </c>
      <c r="AN34" s="1">
        <f>IF(H34="",0,VLOOKUP(H34,Lookup!$M$113:$O$128,MATCH(AI34,Lookup!$M$113:$O$113,0),FALSE))</f>
        <v>0</v>
      </c>
      <c r="AO34" s="1">
        <f>(IF(I34="",0,IF(AND(H34="Hvy W",I34="Hvy W"),0,VLOOKUP(I34,Lookup!$P$130:$R$137,MATCH(AI34,Lookup!$M$113:$O$113,0),FALSE))))</f>
        <v>0</v>
      </c>
      <c r="AP34" s="1">
        <f t="shared" si="22"/>
        <v>0</v>
      </c>
      <c r="AQ34" s="1">
        <f t="shared" si="23"/>
        <v>0</v>
      </c>
      <c r="AR34" s="1">
        <f t="shared" si="24"/>
        <v>0</v>
      </c>
      <c r="AS34" s="5">
        <f t="shared" si="25"/>
        <v>0</v>
      </c>
      <c r="AT34" s="1">
        <f t="shared" si="27"/>
        <v>0</v>
      </c>
      <c r="AU34" s="1">
        <f t="shared" si="26"/>
        <v>0</v>
      </c>
      <c r="AV34" s="1"/>
      <c r="AW34" s="1"/>
      <c r="AX34" s="1"/>
      <c r="AY34" s="1"/>
      <c r="AZ34" s="1"/>
      <c r="BA34" s="1"/>
    </row>
    <row r="35" spans="1:53" ht="16.5" customHeight="1" x14ac:dyDescent="0.2">
      <c r="A35" s="68"/>
      <c r="B35" s="78"/>
      <c r="C35" s="78"/>
      <c r="D35" s="78"/>
      <c r="E35" s="78"/>
      <c r="F35" s="78"/>
      <c r="G35" s="78"/>
      <c r="H35" s="78"/>
      <c r="I35" s="78"/>
      <c r="J35" s="78"/>
      <c r="K35" s="79"/>
      <c r="L35" s="54">
        <f t="shared" si="0"/>
        <v>0</v>
      </c>
      <c r="M35" s="55">
        <f t="shared" si="1"/>
        <v>0</v>
      </c>
      <c r="N35" s="55">
        <f t="shared" si="2"/>
        <v>0</v>
      </c>
      <c r="O35" s="56" t="str">
        <f t="shared" si="3"/>
        <v/>
      </c>
      <c r="P35" s="62" t="str">
        <f t="shared" si="4"/>
        <v/>
      </c>
      <c r="Q35" s="58"/>
      <c r="R35" s="59">
        <f t="shared" si="5"/>
        <v>4</v>
      </c>
      <c r="S35" s="60">
        <f t="shared" si="6"/>
        <v>0</v>
      </c>
      <c r="T35" s="61">
        <f t="shared" si="7"/>
        <v>0</v>
      </c>
      <c r="U35" s="61">
        <f t="shared" si="8"/>
        <v>0</v>
      </c>
      <c r="V35" s="61">
        <f t="shared" si="9"/>
        <v>0</v>
      </c>
      <c r="W35" s="59">
        <f t="shared" si="10"/>
        <v>0</v>
      </c>
      <c r="X35" s="1">
        <f t="shared" si="11"/>
        <v>0</v>
      </c>
      <c r="Y35" s="1">
        <f t="shared" si="12"/>
        <v>0</v>
      </c>
      <c r="Z35" s="1">
        <f t="shared" si="13"/>
        <v>0</v>
      </c>
      <c r="AA35" s="6">
        <f t="shared" si="14"/>
        <v>0</v>
      </c>
      <c r="AB35" s="1">
        <f t="shared" si="15"/>
        <v>0</v>
      </c>
      <c r="AC35" s="1">
        <f t="shared" si="16"/>
        <v>0</v>
      </c>
      <c r="AD35" s="1">
        <f>IF(D35="",0,VLOOKUP(D35,Lookup!$W$144:$X$165,2,FALSE))</f>
        <v>0</v>
      </c>
      <c r="AE35" s="1">
        <f t="shared" si="17"/>
        <v>0</v>
      </c>
      <c r="AF35" s="1"/>
      <c r="AG35" s="1">
        <f t="shared" si="18"/>
        <v>0</v>
      </c>
      <c r="AH35" s="6" t="str">
        <f t="shared" si="19"/>
        <v>-</v>
      </c>
      <c r="AI35" s="1">
        <f t="shared" si="20"/>
        <v>0</v>
      </c>
      <c r="AJ35" s="1" t="str">
        <f>IF(ISERROR(VLOOKUP(G35,Lookup!$J$93:$M$111,4,FALSE)),"NS",VLOOKUP(G35,Lookup!$J$93:$M$111,4,FALSE))</f>
        <v>NS</v>
      </c>
      <c r="AK35" s="1" t="str">
        <f t="shared" si="21"/>
        <v>NSNSNSNS</v>
      </c>
      <c r="AL35" s="1">
        <f>IF(D35="",0,IF(D35="Portable Def",3,VLOOKUP(AH35,Lookup!$B$3:$F$69,MATCH(F35,Lookup!$B$3:$F$3,0),FALSE)))</f>
        <v>0</v>
      </c>
      <c r="AM35" s="1">
        <f>IF(D35="Naval",0,IF(G35="",0,VLOOKUP(G35,Lookup!$J$93:$L$111,MATCH(AI35,Lookup!$J$93:$L$93,0),FALSE)))</f>
        <v>0</v>
      </c>
      <c r="AN35" s="1">
        <f>IF(H35="",0,VLOOKUP(H35,Lookup!$M$113:$O$128,MATCH(AI35,Lookup!$M$113:$O$113,0),FALSE))</f>
        <v>0</v>
      </c>
      <c r="AO35" s="1">
        <f>(IF(I35="",0,IF(AND(H35="Hvy W",I35="Hvy W"),0,VLOOKUP(I35,Lookup!$P$130:$R$137,MATCH(AI35,Lookup!$M$113:$O$113,0),FALSE))))</f>
        <v>0</v>
      </c>
      <c r="AP35" s="1">
        <f t="shared" si="22"/>
        <v>0</v>
      </c>
      <c r="AQ35" s="1">
        <f t="shared" si="23"/>
        <v>0</v>
      </c>
      <c r="AR35" s="1">
        <f t="shared" si="24"/>
        <v>0</v>
      </c>
      <c r="AS35" s="5">
        <f t="shared" si="25"/>
        <v>0</v>
      </c>
      <c r="AT35" s="1">
        <f t="shared" si="27"/>
        <v>0</v>
      </c>
      <c r="AU35" s="1">
        <f t="shared" si="26"/>
        <v>0</v>
      </c>
      <c r="AV35" s="1"/>
      <c r="AW35" s="1"/>
      <c r="AX35" s="1"/>
      <c r="AY35" s="1"/>
      <c r="AZ35" s="1"/>
      <c r="BA35" s="1"/>
    </row>
    <row r="36" spans="1:53" ht="16.5" customHeight="1" x14ac:dyDescent="0.2">
      <c r="A36" s="68"/>
      <c r="B36" s="78"/>
      <c r="C36" s="78"/>
      <c r="D36" s="78"/>
      <c r="E36" s="78"/>
      <c r="F36" s="78"/>
      <c r="G36" s="78"/>
      <c r="H36" s="78"/>
      <c r="I36" s="78"/>
      <c r="J36" s="78"/>
      <c r="K36" s="79"/>
      <c r="L36" s="54">
        <f t="shared" si="0"/>
        <v>0</v>
      </c>
      <c r="M36" s="55">
        <f t="shared" si="1"/>
        <v>0</v>
      </c>
      <c r="N36" s="55">
        <f t="shared" si="2"/>
        <v>0</v>
      </c>
      <c r="O36" s="56" t="str">
        <f t="shared" si="3"/>
        <v/>
      </c>
      <c r="P36" s="62" t="str">
        <f t="shared" si="4"/>
        <v/>
      </c>
      <c r="Q36" s="58"/>
      <c r="R36" s="59">
        <f t="shared" si="5"/>
        <v>4</v>
      </c>
      <c r="S36" s="60">
        <f t="shared" si="6"/>
        <v>0</v>
      </c>
      <c r="T36" s="61">
        <f t="shared" si="7"/>
        <v>0</v>
      </c>
      <c r="U36" s="61">
        <f t="shared" si="8"/>
        <v>0</v>
      </c>
      <c r="V36" s="61">
        <f t="shared" si="9"/>
        <v>0</v>
      </c>
      <c r="W36" s="59">
        <f t="shared" si="10"/>
        <v>0</v>
      </c>
      <c r="X36" s="1">
        <f t="shared" si="11"/>
        <v>0</v>
      </c>
      <c r="Y36" s="1">
        <f t="shared" si="12"/>
        <v>0</v>
      </c>
      <c r="Z36" s="1">
        <f t="shared" si="13"/>
        <v>0</v>
      </c>
      <c r="AA36" s="6">
        <f t="shared" si="14"/>
        <v>0</v>
      </c>
      <c r="AB36" s="1">
        <f t="shared" si="15"/>
        <v>0</v>
      </c>
      <c r="AC36" s="1">
        <f t="shared" si="16"/>
        <v>0</v>
      </c>
      <c r="AD36" s="1">
        <f>IF(D36="",0,VLOOKUP(D36,Lookup!$W$144:$X$165,2,FALSE))</f>
        <v>0</v>
      </c>
      <c r="AE36" s="1">
        <f t="shared" si="17"/>
        <v>0</v>
      </c>
      <c r="AF36" s="1"/>
      <c r="AG36" s="1">
        <f t="shared" si="18"/>
        <v>0</v>
      </c>
      <c r="AH36" s="6" t="str">
        <f t="shared" si="19"/>
        <v>-</v>
      </c>
      <c r="AI36" s="1">
        <f t="shared" si="20"/>
        <v>0</v>
      </c>
      <c r="AJ36" s="1" t="str">
        <f>IF(ISERROR(VLOOKUP(G36,Lookup!$J$93:$M$111,4,FALSE)),"NS",VLOOKUP(G36,Lookup!$J$93:$M$111,4,FALSE))</f>
        <v>NS</v>
      </c>
      <c r="AK36" s="1" t="str">
        <f t="shared" si="21"/>
        <v>NSNSNSNS</v>
      </c>
      <c r="AL36" s="1">
        <f>IF(D36="",0,IF(D36="Portable Def",3,VLOOKUP(AH36,Lookup!$B$3:$F$69,MATCH(F36,Lookup!$B$3:$F$3,0),FALSE)))</f>
        <v>0</v>
      </c>
      <c r="AM36" s="1">
        <f>IF(D36="Naval",0,IF(G36="",0,VLOOKUP(G36,Lookup!$J$93:$L$111,MATCH(AI36,Lookup!$J$93:$L$93,0),FALSE)))</f>
        <v>0</v>
      </c>
      <c r="AN36" s="1">
        <f>IF(H36="",0,VLOOKUP(H36,Lookup!$M$113:$O$128,MATCH(AI36,Lookup!$M$113:$O$113,0),FALSE))</f>
        <v>0</v>
      </c>
      <c r="AO36" s="1">
        <f>(IF(I36="",0,IF(AND(H36="Hvy W",I36="Hvy W"),0,VLOOKUP(I36,Lookup!$P$130:$R$137,MATCH(AI36,Lookup!$M$113:$O$113,0),FALSE))))</f>
        <v>0</v>
      </c>
      <c r="AP36" s="1">
        <f t="shared" si="22"/>
        <v>0</v>
      </c>
      <c r="AQ36" s="1">
        <f t="shared" si="23"/>
        <v>0</v>
      </c>
      <c r="AR36" s="1">
        <f t="shared" si="24"/>
        <v>0</v>
      </c>
      <c r="AS36" s="5">
        <f t="shared" si="25"/>
        <v>0</v>
      </c>
      <c r="AT36" s="1">
        <f t="shared" si="27"/>
        <v>0</v>
      </c>
      <c r="AU36" s="1">
        <f t="shared" si="26"/>
        <v>0</v>
      </c>
      <c r="AV36" s="1"/>
      <c r="AW36" s="1"/>
      <c r="AX36" s="1"/>
      <c r="AY36" s="1"/>
      <c r="AZ36" s="1"/>
      <c r="BA36" s="1"/>
    </row>
    <row r="37" spans="1:53" ht="16.5" customHeight="1" x14ac:dyDescent="0.2">
      <c r="A37" s="68"/>
      <c r="B37" s="78"/>
      <c r="C37" s="78"/>
      <c r="D37" s="78"/>
      <c r="E37" s="78"/>
      <c r="F37" s="78"/>
      <c r="G37" s="78"/>
      <c r="H37" s="78"/>
      <c r="I37" s="78"/>
      <c r="J37" s="78"/>
      <c r="K37" s="79"/>
      <c r="L37" s="54">
        <f t="shared" si="0"/>
        <v>0</v>
      </c>
      <c r="M37" s="55">
        <f t="shared" si="1"/>
        <v>0</v>
      </c>
      <c r="N37" s="55">
        <f t="shared" si="2"/>
        <v>0</v>
      </c>
      <c r="O37" s="56" t="str">
        <f t="shared" si="3"/>
        <v/>
      </c>
      <c r="P37" s="62" t="str">
        <f t="shared" si="4"/>
        <v/>
      </c>
      <c r="Q37" s="58"/>
      <c r="R37" s="59">
        <f t="shared" si="5"/>
        <v>4</v>
      </c>
      <c r="S37" s="60">
        <f t="shared" si="6"/>
        <v>0</v>
      </c>
      <c r="T37" s="61">
        <f t="shared" si="7"/>
        <v>0</v>
      </c>
      <c r="U37" s="61">
        <f t="shared" si="8"/>
        <v>0</v>
      </c>
      <c r="V37" s="61">
        <f t="shared" si="9"/>
        <v>0</v>
      </c>
      <c r="W37" s="59">
        <f t="shared" si="10"/>
        <v>0</v>
      </c>
      <c r="X37" s="1">
        <f t="shared" si="11"/>
        <v>0</v>
      </c>
      <c r="Y37" s="1">
        <f t="shared" si="12"/>
        <v>0</v>
      </c>
      <c r="Z37" s="1">
        <f t="shared" si="13"/>
        <v>0</v>
      </c>
      <c r="AA37" s="6">
        <f t="shared" si="14"/>
        <v>0</v>
      </c>
      <c r="AB37" s="1">
        <f t="shared" si="15"/>
        <v>0</v>
      </c>
      <c r="AC37" s="1">
        <f t="shared" si="16"/>
        <v>0</v>
      </c>
      <c r="AD37" s="1">
        <f>IF(D37="",0,VLOOKUP(D37,Lookup!$W$144:$X$165,2,FALSE))</f>
        <v>0</v>
      </c>
      <c r="AE37" s="1">
        <f t="shared" si="17"/>
        <v>0</v>
      </c>
      <c r="AF37" s="1"/>
      <c r="AG37" s="1">
        <f t="shared" si="18"/>
        <v>0</v>
      </c>
      <c r="AH37" s="6" t="str">
        <f t="shared" si="19"/>
        <v>-</v>
      </c>
      <c r="AI37" s="1">
        <f t="shared" si="20"/>
        <v>0</v>
      </c>
      <c r="AJ37" s="1" t="str">
        <f>IF(ISERROR(VLOOKUP(G37,Lookup!$J$93:$M$111,4,FALSE)),"NS",VLOOKUP(G37,Lookup!$J$93:$M$111,4,FALSE))</f>
        <v>NS</v>
      </c>
      <c r="AK37" s="1" t="str">
        <f t="shared" si="21"/>
        <v>NSNSNSNS</v>
      </c>
      <c r="AL37" s="1">
        <f>IF(D37="",0,IF(D37="Portable Def",3,VLOOKUP(AH37,Lookup!$B$3:$F$69,MATCH(F37,Lookup!$B$3:$F$3,0),FALSE)))</f>
        <v>0</v>
      </c>
      <c r="AM37" s="1">
        <f>IF(D37="Naval",0,IF(G37="",0,VLOOKUP(G37,Lookup!$J$93:$L$111,MATCH(AI37,Lookup!$J$93:$L$93,0),FALSE)))</f>
        <v>0</v>
      </c>
      <c r="AN37" s="1">
        <f>IF(H37="",0,VLOOKUP(H37,Lookup!$M$113:$O$128,MATCH(AI37,Lookup!$M$113:$O$113,0),FALSE))</f>
        <v>0</v>
      </c>
      <c r="AO37" s="1">
        <f>(IF(I37="",0,IF(AND(H37="Hvy W",I37="Hvy W"),0,VLOOKUP(I37,Lookup!$P$130:$R$137,MATCH(AI37,Lookup!$M$113:$O$113,0),FALSE))))</f>
        <v>0</v>
      </c>
      <c r="AP37" s="1">
        <f t="shared" si="22"/>
        <v>0</v>
      </c>
      <c r="AQ37" s="1">
        <f t="shared" si="23"/>
        <v>0</v>
      </c>
      <c r="AR37" s="1">
        <f t="shared" si="24"/>
        <v>0</v>
      </c>
      <c r="AS37" s="5">
        <f t="shared" si="25"/>
        <v>0</v>
      </c>
      <c r="AT37" s="1">
        <f t="shared" si="27"/>
        <v>0</v>
      </c>
      <c r="AU37" s="1">
        <f t="shared" si="26"/>
        <v>0</v>
      </c>
      <c r="AV37" s="1"/>
      <c r="AW37" s="1"/>
      <c r="AX37" s="1"/>
      <c r="AY37" s="1"/>
      <c r="AZ37" s="1"/>
      <c r="BA37" s="1"/>
    </row>
    <row r="38" spans="1:53" ht="16.5" customHeight="1" x14ac:dyDescent="0.2">
      <c r="A38" s="68"/>
      <c r="B38" s="78"/>
      <c r="C38" s="78"/>
      <c r="D38" s="78"/>
      <c r="E38" s="78"/>
      <c r="F38" s="78"/>
      <c r="G38" s="78"/>
      <c r="H38" s="78"/>
      <c r="I38" s="78"/>
      <c r="J38" s="78"/>
      <c r="K38" s="79"/>
      <c r="L38" s="54">
        <f t="shared" si="0"/>
        <v>0</v>
      </c>
      <c r="M38" s="55">
        <f t="shared" si="1"/>
        <v>0</v>
      </c>
      <c r="N38" s="55">
        <f t="shared" si="2"/>
        <v>0</v>
      </c>
      <c r="O38" s="56" t="str">
        <f t="shared" si="3"/>
        <v/>
      </c>
      <c r="P38" s="62" t="str">
        <f t="shared" si="4"/>
        <v/>
      </c>
      <c r="Q38" s="58"/>
      <c r="R38" s="59">
        <f t="shared" si="5"/>
        <v>4</v>
      </c>
      <c r="S38" s="60">
        <f t="shared" si="6"/>
        <v>0</v>
      </c>
      <c r="T38" s="61">
        <f t="shared" si="7"/>
        <v>0</v>
      </c>
      <c r="U38" s="61">
        <f t="shared" si="8"/>
        <v>0</v>
      </c>
      <c r="V38" s="61">
        <f t="shared" si="9"/>
        <v>0</v>
      </c>
      <c r="W38" s="59">
        <f t="shared" si="10"/>
        <v>0</v>
      </c>
      <c r="X38" s="1">
        <f t="shared" si="11"/>
        <v>0</v>
      </c>
      <c r="Y38" s="1">
        <f t="shared" si="12"/>
        <v>0</v>
      </c>
      <c r="Z38" s="1">
        <f t="shared" si="13"/>
        <v>0</v>
      </c>
      <c r="AA38" s="6">
        <f t="shared" si="14"/>
        <v>0</v>
      </c>
      <c r="AB38" s="1">
        <f t="shared" si="15"/>
        <v>0</v>
      </c>
      <c r="AC38" s="1">
        <f t="shared" si="16"/>
        <v>0</v>
      </c>
      <c r="AD38" s="1">
        <f>IF(D38="",0,VLOOKUP(D38,Lookup!$W$144:$X$165,2,FALSE))</f>
        <v>0</v>
      </c>
      <c r="AE38" s="1">
        <f t="shared" si="17"/>
        <v>0</v>
      </c>
      <c r="AF38" s="1"/>
      <c r="AG38" s="1">
        <f t="shared" si="18"/>
        <v>0</v>
      </c>
      <c r="AH38" s="6" t="str">
        <f t="shared" si="19"/>
        <v>-</v>
      </c>
      <c r="AI38" s="1">
        <f t="shared" si="20"/>
        <v>0</v>
      </c>
      <c r="AJ38" s="1" t="str">
        <f>IF(ISERROR(VLOOKUP(G38,Lookup!$J$93:$M$111,4,FALSE)),"NS",VLOOKUP(G38,Lookup!$J$93:$M$111,4,FALSE))</f>
        <v>NS</v>
      </c>
      <c r="AK38" s="1" t="str">
        <f t="shared" si="21"/>
        <v>NSNSNSNS</v>
      </c>
      <c r="AL38" s="1">
        <f>IF(D38="",0,IF(D38="Portable Def",3,VLOOKUP(AH38,Lookup!$B$3:$F$69,MATCH(F38,Lookup!$B$3:$F$3,0),FALSE)))</f>
        <v>0</v>
      </c>
      <c r="AM38" s="1">
        <f>IF(D38="Naval",0,IF(G38="",0,VLOOKUP(G38,Lookup!$J$93:$L$111,MATCH(AI38,Lookup!$J$93:$L$93,0),FALSE)))</f>
        <v>0</v>
      </c>
      <c r="AN38" s="1">
        <f>IF(H38="",0,VLOOKUP(H38,Lookup!$M$113:$O$128,MATCH(AI38,Lookup!$M$113:$O$113,0),FALSE))</f>
        <v>0</v>
      </c>
      <c r="AO38" s="1">
        <f>(IF(I38="",0,IF(AND(H38="Hvy W",I38="Hvy W"),0,VLOOKUP(I38,Lookup!$P$130:$R$137,MATCH(AI38,Lookup!$M$113:$O$113,0),FALSE))))</f>
        <v>0</v>
      </c>
      <c r="AP38" s="1">
        <f t="shared" si="22"/>
        <v>0</v>
      </c>
      <c r="AQ38" s="1">
        <f t="shared" si="23"/>
        <v>0</v>
      </c>
      <c r="AR38" s="1">
        <f t="shared" si="24"/>
        <v>0</v>
      </c>
      <c r="AS38" s="5">
        <f t="shared" si="25"/>
        <v>0</v>
      </c>
      <c r="AT38" s="1">
        <f t="shared" si="27"/>
        <v>0</v>
      </c>
      <c r="AU38" s="1">
        <f t="shared" si="26"/>
        <v>0</v>
      </c>
      <c r="AV38" s="1"/>
      <c r="AW38" s="1"/>
      <c r="AX38" s="1"/>
      <c r="AY38" s="1"/>
      <c r="AZ38" s="1"/>
      <c r="BA38" s="1"/>
    </row>
    <row r="39" spans="1:53" ht="16.5" customHeight="1" x14ac:dyDescent="0.2">
      <c r="A39" s="68"/>
      <c r="B39" s="78"/>
      <c r="C39" s="78"/>
      <c r="D39" s="78"/>
      <c r="E39" s="78"/>
      <c r="F39" s="78"/>
      <c r="G39" s="78"/>
      <c r="H39" s="78"/>
      <c r="I39" s="78"/>
      <c r="J39" s="78"/>
      <c r="K39" s="79"/>
      <c r="L39" s="54">
        <f t="shared" si="0"/>
        <v>0</v>
      </c>
      <c r="M39" s="55">
        <f t="shared" si="1"/>
        <v>0</v>
      </c>
      <c r="N39" s="55">
        <f t="shared" si="2"/>
        <v>0</v>
      </c>
      <c r="O39" s="56" t="str">
        <f t="shared" si="3"/>
        <v/>
      </c>
      <c r="P39" s="62" t="str">
        <f t="shared" si="4"/>
        <v/>
      </c>
      <c r="Q39" s="58"/>
      <c r="R39" s="59">
        <f t="shared" si="5"/>
        <v>4</v>
      </c>
      <c r="S39" s="60">
        <f t="shared" si="6"/>
        <v>0</v>
      </c>
      <c r="T39" s="61">
        <f t="shared" si="7"/>
        <v>0</v>
      </c>
      <c r="U39" s="61">
        <f t="shared" si="8"/>
        <v>0</v>
      </c>
      <c r="V39" s="61">
        <f t="shared" si="9"/>
        <v>0</v>
      </c>
      <c r="W39" s="59">
        <f t="shared" si="10"/>
        <v>0</v>
      </c>
      <c r="X39" s="1">
        <f t="shared" si="11"/>
        <v>0</v>
      </c>
      <c r="Y39" s="1">
        <f t="shared" si="12"/>
        <v>0</v>
      </c>
      <c r="Z39" s="1">
        <f t="shared" si="13"/>
        <v>0</v>
      </c>
      <c r="AA39" s="6">
        <f t="shared" si="14"/>
        <v>0</v>
      </c>
      <c r="AB39" s="1">
        <f t="shared" si="15"/>
        <v>0</v>
      </c>
      <c r="AC39" s="1">
        <f t="shared" si="16"/>
        <v>0</v>
      </c>
      <c r="AD39" s="1">
        <f>IF(D39="",0,VLOOKUP(D39,Lookup!$W$144:$X$165,2,FALSE))</f>
        <v>0</v>
      </c>
      <c r="AE39" s="1">
        <f t="shared" si="17"/>
        <v>0</v>
      </c>
      <c r="AF39" s="1"/>
      <c r="AG39" s="1">
        <f t="shared" si="18"/>
        <v>0</v>
      </c>
      <c r="AH39" s="6" t="str">
        <f t="shared" si="19"/>
        <v>-</v>
      </c>
      <c r="AI39" s="1">
        <f t="shared" si="20"/>
        <v>0</v>
      </c>
      <c r="AJ39" s="1" t="str">
        <f>IF(ISERROR(VLOOKUP(G39,Lookup!$J$93:$M$111,4,FALSE)),"NS",VLOOKUP(G39,Lookup!$J$93:$M$111,4,FALSE))</f>
        <v>NS</v>
      </c>
      <c r="AK39" s="1" t="str">
        <f t="shared" si="21"/>
        <v>NSNSNSNS</v>
      </c>
      <c r="AL39" s="1">
        <f>IF(D39="",0,IF(D39="Portable Def",3,VLOOKUP(AH39,Lookup!$B$3:$F$69,MATCH(F39,Lookup!$B$3:$F$3,0),FALSE)))</f>
        <v>0</v>
      </c>
      <c r="AM39" s="1">
        <f>IF(D39="Naval",0,IF(G39="",0,VLOOKUP(G39,Lookup!$J$93:$L$111,MATCH(AI39,Lookup!$J$93:$L$93,0),FALSE)))</f>
        <v>0</v>
      </c>
      <c r="AN39" s="1">
        <f>IF(H39="",0,VLOOKUP(H39,Lookup!$M$113:$O$128,MATCH(AI39,Lookup!$M$113:$O$113,0),FALSE))</f>
        <v>0</v>
      </c>
      <c r="AO39" s="1">
        <f>(IF(I39="",0,IF(AND(H39="Hvy W",I39="Hvy W"),0,VLOOKUP(I39,Lookup!$P$130:$R$137,MATCH(AI39,Lookup!$M$113:$O$113,0),FALSE))))</f>
        <v>0</v>
      </c>
      <c r="AP39" s="1">
        <f t="shared" si="22"/>
        <v>0</v>
      </c>
      <c r="AQ39" s="1">
        <f t="shared" si="23"/>
        <v>0</v>
      </c>
      <c r="AR39" s="1">
        <f t="shared" si="24"/>
        <v>0</v>
      </c>
      <c r="AS39" s="5">
        <f t="shared" si="25"/>
        <v>0</v>
      </c>
      <c r="AT39" s="1">
        <f t="shared" si="27"/>
        <v>0</v>
      </c>
      <c r="AU39" s="1">
        <f t="shared" si="26"/>
        <v>0</v>
      </c>
      <c r="AV39" s="1"/>
      <c r="AW39" s="1"/>
      <c r="AX39" s="1"/>
      <c r="AY39" s="1"/>
      <c r="AZ39" s="1"/>
      <c r="BA39" s="1"/>
    </row>
    <row r="40" spans="1:53" ht="16.5" customHeight="1" x14ac:dyDescent="0.2">
      <c r="A40" s="68"/>
      <c r="B40" s="78"/>
      <c r="C40" s="78"/>
      <c r="D40" s="78"/>
      <c r="E40" s="78"/>
      <c r="F40" s="78"/>
      <c r="G40" s="78"/>
      <c r="H40" s="78"/>
      <c r="I40" s="78"/>
      <c r="J40" s="78"/>
      <c r="K40" s="79"/>
      <c r="L40" s="54">
        <f t="shared" si="0"/>
        <v>0</v>
      </c>
      <c r="M40" s="55">
        <f t="shared" si="1"/>
        <v>0</v>
      </c>
      <c r="N40" s="55">
        <f t="shared" si="2"/>
        <v>0</v>
      </c>
      <c r="O40" s="56" t="str">
        <f t="shared" si="3"/>
        <v/>
      </c>
      <c r="P40" s="62" t="str">
        <f t="shared" si="4"/>
        <v/>
      </c>
      <c r="Q40" s="58"/>
      <c r="R40" s="59">
        <f t="shared" si="5"/>
        <v>4</v>
      </c>
      <c r="S40" s="60">
        <f t="shared" si="6"/>
        <v>0</v>
      </c>
      <c r="T40" s="61">
        <f t="shared" si="7"/>
        <v>0</v>
      </c>
      <c r="U40" s="61">
        <f t="shared" si="8"/>
        <v>0</v>
      </c>
      <c r="V40" s="61">
        <f t="shared" si="9"/>
        <v>0</v>
      </c>
      <c r="W40" s="59">
        <f t="shared" si="10"/>
        <v>0</v>
      </c>
      <c r="X40" s="1">
        <f t="shared" si="11"/>
        <v>0</v>
      </c>
      <c r="Y40" s="1">
        <f t="shared" si="12"/>
        <v>0</v>
      </c>
      <c r="Z40" s="1">
        <f t="shared" si="13"/>
        <v>0</v>
      </c>
      <c r="AA40" s="6">
        <f t="shared" si="14"/>
        <v>0</v>
      </c>
      <c r="AB40" s="1">
        <f t="shared" si="15"/>
        <v>0</v>
      </c>
      <c r="AC40" s="1">
        <f t="shared" si="16"/>
        <v>0</v>
      </c>
      <c r="AD40" s="1">
        <f>IF(D40="",0,VLOOKUP(D40,Lookup!$W$144:$X$165,2,FALSE))</f>
        <v>0</v>
      </c>
      <c r="AE40" s="1">
        <f t="shared" si="17"/>
        <v>0</v>
      </c>
      <c r="AF40" s="1"/>
      <c r="AG40" s="1">
        <f t="shared" si="18"/>
        <v>0</v>
      </c>
      <c r="AH40" s="6" t="str">
        <f t="shared" si="19"/>
        <v>-</v>
      </c>
      <c r="AI40" s="1">
        <f t="shared" si="20"/>
        <v>0</v>
      </c>
      <c r="AJ40" s="1" t="str">
        <f>IF(ISERROR(VLOOKUP(G40,Lookup!$J$93:$M$111,4,FALSE)),"NS",VLOOKUP(G40,Lookup!$J$93:$M$111,4,FALSE))</f>
        <v>NS</v>
      </c>
      <c r="AK40" s="1" t="str">
        <f t="shared" si="21"/>
        <v>NSNSNSNS</v>
      </c>
      <c r="AL40" s="1">
        <f>IF(D40="",0,IF(D40="Portable Def",3,VLOOKUP(AH40,Lookup!$B$3:$F$69,MATCH(F40,Lookup!$B$3:$F$3,0),FALSE)))</f>
        <v>0</v>
      </c>
      <c r="AM40" s="1">
        <f>IF(D40="Naval",0,IF(G40="",0,VLOOKUP(G40,Lookup!$J$93:$L$111,MATCH(AI40,Lookup!$J$93:$L$93,0),FALSE)))</f>
        <v>0</v>
      </c>
      <c r="AN40" s="1">
        <f>IF(H40="",0,VLOOKUP(H40,Lookup!$M$113:$O$128,MATCH(AI40,Lookup!$M$113:$O$113,0),FALSE))</f>
        <v>0</v>
      </c>
      <c r="AO40" s="1">
        <f>(IF(I40="",0,IF(AND(H40="Hvy W",I40="Hvy W"),0,VLOOKUP(I40,Lookup!$P$130:$R$137,MATCH(AI40,Lookup!$M$113:$O$113,0),FALSE))))</f>
        <v>0</v>
      </c>
      <c r="AP40" s="1">
        <f t="shared" si="22"/>
        <v>0</v>
      </c>
      <c r="AQ40" s="1">
        <f t="shared" si="23"/>
        <v>0</v>
      </c>
      <c r="AR40" s="1">
        <f t="shared" si="24"/>
        <v>0</v>
      </c>
      <c r="AS40" s="5">
        <f t="shared" si="25"/>
        <v>0</v>
      </c>
      <c r="AT40" s="1">
        <f t="shared" si="27"/>
        <v>0</v>
      </c>
      <c r="AU40" s="1">
        <f t="shared" si="26"/>
        <v>0</v>
      </c>
      <c r="AV40" s="1"/>
      <c r="AW40" s="1"/>
      <c r="AX40" s="1"/>
      <c r="AY40" s="1"/>
      <c r="AZ40" s="1"/>
      <c r="BA40" s="1"/>
    </row>
    <row r="41" spans="1:53" ht="16.5" customHeight="1" x14ac:dyDescent="0.2">
      <c r="A41" s="68"/>
      <c r="B41" s="78"/>
      <c r="C41" s="78"/>
      <c r="D41" s="78"/>
      <c r="E41" s="78"/>
      <c r="F41" s="78"/>
      <c r="G41" s="78"/>
      <c r="H41" s="78"/>
      <c r="I41" s="78"/>
      <c r="J41" s="78"/>
      <c r="K41" s="79"/>
      <c r="L41" s="54">
        <f t="shared" si="0"/>
        <v>0</v>
      </c>
      <c r="M41" s="55">
        <f t="shared" si="1"/>
        <v>0</v>
      </c>
      <c r="N41" s="55">
        <f t="shared" si="2"/>
        <v>0</v>
      </c>
      <c r="O41" s="56" t="str">
        <f t="shared" si="3"/>
        <v/>
      </c>
      <c r="P41" s="62" t="str">
        <f t="shared" si="4"/>
        <v/>
      </c>
      <c r="Q41" s="58"/>
      <c r="R41" s="59">
        <f t="shared" si="5"/>
        <v>4</v>
      </c>
      <c r="S41" s="60">
        <f t="shared" si="6"/>
        <v>0</v>
      </c>
      <c r="T41" s="61">
        <f t="shared" si="7"/>
        <v>0</v>
      </c>
      <c r="U41" s="61">
        <f t="shared" si="8"/>
        <v>0</v>
      </c>
      <c r="V41" s="61">
        <f t="shared" si="9"/>
        <v>0</v>
      </c>
      <c r="W41" s="59">
        <f t="shared" si="10"/>
        <v>0</v>
      </c>
      <c r="X41" s="1">
        <f t="shared" si="11"/>
        <v>0</v>
      </c>
      <c r="Y41" s="1">
        <f t="shared" si="12"/>
        <v>0</v>
      </c>
      <c r="Z41" s="1">
        <f t="shared" si="13"/>
        <v>0</v>
      </c>
      <c r="AA41" s="6">
        <f t="shared" si="14"/>
        <v>0</v>
      </c>
      <c r="AB41" s="1">
        <f t="shared" si="15"/>
        <v>0</v>
      </c>
      <c r="AC41" s="1">
        <f t="shared" si="16"/>
        <v>0</v>
      </c>
      <c r="AD41" s="1">
        <f>IF(D41="",0,VLOOKUP(D41,Lookup!$W$144:$X$165,2,FALSE))</f>
        <v>0</v>
      </c>
      <c r="AE41" s="1">
        <f t="shared" si="17"/>
        <v>0</v>
      </c>
      <c r="AF41" s="1"/>
      <c r="AG41" s="1">
        <f t="shared" si="18"/>
        <v>0</v>
      </c>
      <c r="AH41" s="6" t="str">
        <f t="shared" si="19"/>
        <v>-</v>
      </c>
      <c r="AI41" s="1">
        <f t="shared" si="20"/>
        <v>0</v>
      </c>
      <c r="AJ41" s="1" t="str">
        <f>IF(ISERROR(VLOOKUP(G41,Lookup!$J$93:$M$111,4,FALSE)),"NS",VLOOKUP(G41,Lookup!$J$93:$M$111,4,FALSE))</f>
        <v>NS</v>
      </c>
      <c r="AK41" s="1" t="str">
        <f t="shared" si="21"/>
        <v>NSNSNSNS</v>
      </c>
      <c r="AL41" s="1">
        <f>IF(D41="",0,IF(D41="Portable Def",3,VLOOKUP(AH41,Lookup!$B$3:$F$69,MATCH(F41,Lookup!$B$3:$F$3,0),FALSE)))</f>
        <v>0</v>
      </c>
      <c r="AM41" s="1">
        <f>IF(D41="Naval",0,IF(G41="",0,VLOOKUP(G41,Lookup!$J$93:$L$111,MATCH(AI41,Lookup!$J$93:$L$93,0),FALSE)))</f>
        <v>0</v>
      </c>
      <c r="AN41" s="1">
        <f>IF(H41="",0,VLOOKUP(H41,Lookup!$M$113:$O$128,MATCH(AI41,Lookup!$M$113:$O$113,0),FALSE))</f>
        <v>0</v>
      </c>
      <c r="AO41" s="1">
        <f>(IF(I41="",0,IF(AND(H41="Hvy W",I41="Hvy W"),0,VLOOKUP(I41,Lookup!$P$130:$R$137,MATCH(AI41,Lookup!$M$113:$O$113,0),FALSE))))</f>
        <v>0</v>
      </c>
      <c r="AP41" s="1">
        <f t="shared" si="22"/>
        <v>0</v>
      </c>
      <c r="AQ41" s="1">
        <f t="shared" si="23"/>
        <v>0</v>
      </c>
      <c r="AR41" s="1">
        <f t="shared" si="24"/>
        <v>0</v>
      </c>
      <c r="AS41" s="5">
        <f t="shared" si="25"/>
        <v>0</v>
      </c>
      <c r="AT41" s="1">
        <f t="shared" si="27"/>
        <v>0</v>
      </c>
      <c r="AU41" s="1">
        <f t="shared" si="26"/>
        <v>0</v>
      </c>
      <c r="AV41" s="1"/>
      <c r="AW41" s="1"/>
      <c r="AX41" s="1"/>
      <c r="AY41" s="1"/>
      <c r="AZ41" s="1"/>
      <c r="BA41" s="1"/>
    </row>
    <row r="42" spans="1:53" ht="16.5" customHeight="1" x14ac:dyDescent="0.2">
      <c r="A42" s="68"/>
      <c r="B42" s="78"/>
      <c r="C42" s="78"/>
      <c r="D42" s="78"/>
      <c r="E42" s="78"/>
      <c r="F42" s="78"/>
      <c r="G42" s="78"/>
      <c r="H42" s="78"/>
      <c r="I42" s="78"/>
      <c r="J42" s="78"/>
      <c r="K42" s="79"/>
      <c r="L42" s="54">
        <f t="shared" si="0"/>
        <v>0</v>
      </c>
      <c r="M42" s="55">
        <f t="shared" si="1"/>
        <v>0</v>
      </c>
      <c r="N42" s="55">
        <f t="shared" si="2"/>
        <v>0</v>
      </c>
      <c r="O42" s="56" t="str">
        <f t="shared" si="3"/>
        <v/>
      </c>
      <c r="P42" s="62" t="str">
        <f t="shared" si="4"/>
        <v/>
      </c>
      <c r="Q42" s="58"/>
      <c r="R42" s="59">
        <f t="shared" si="5"/>
        <v>4</v>
      </c>
      <c r="S42" s="60">
        <f t="shared" si="6"/>
        <v>0</v>
      </c>
      <c r="T42" s="61">
        <f t="shared" si="7"/>
        <v>0</v>
      </c>
      <c r="U42" s="61">
        <f t="shared" si="8"/>
        <v>0</v>
      </c>
      <c r="V42" s="61">
        <f t="shared" si="9"/>
        <v>0</v>
      </c>
      <c r="W42" s="59">
        <f t="shared" si="10"/>
        <v>0</v>
      </c>
      <c r="X42" s="1">
        <f t="shared" si="11"/>
        <v>0</v>
      </c>
      <c r="Y42" s="1">
        <f t="shared" si="12"/>
        <v>0</v>
      </c>
      <c r="Z42" s="1">
        <f t="shared" si="13"/>
        <v>0</v>
      </c>
      <c r="AA42" s="6">
        <f t="shared" si="14"/>
        <v>0</v>
      </c>
      <c r="AB42" s="1">
        <f t="shared" si="15"/>
        <v>0</v>
      </c>
      <c r="AC42" s="1">
        <f t="shared" si="16"/>
        <v>0</v>
      </c>
      <c r="AD42" s="1">
        <f>IF(D42="",0,VLOOKUP(D42,Lookup!$W$144:$X$165,2,FALSE))</f>
        <v>0</v>
      </c>
      <c r="AE42" s="1">
        <f t="shared" si="17"/>
        <v>0</v>
      </c>
      <c r="AF42" s="1"/>
      <c r="AG42" s="1">
        <f t="shared" si="18"/>
        <v>0</v>
      </c>
      <c r="AH42" s="6" t="str">
        <f t="shared" si="19"/>
        <v>-</v>
      </c>
      <c r="AI42" s="1">
        <f t="shared" si="20"/>
        <v>0</v>
      </c>
      <c r="AJ42" s="1" t="str">
        <f>IF(ISERROR(VLOOKUP(G42,Lookup!$J$93:$M$111,4,FALSE)),"NS",VLOOKUP(G42,Lookup!$J$93:$M$111,4,FALSE))</f>
        <v>NS</v>
      </c>
      <c r="AK42" s="1" t="str">
        <f t="shared" si="21"/>
        <v>NSNSNSNS</v>
      </c>
      <c r="AL42" s="1">
        <f>IF(D42="",0,IF(D42="Portable Def",3,VLOOKUP(AH42,Lookup!$B$3:$F$69,MATCH(F42,Lookup!$B$3:$F$3,0),FALSE)))</f>
        <v>0</v>
      </c>
      <c r="AM42" s="1">
        <f>IF(D42="Naval",0,IF(G42="",0,VLOOKUP(G42,Lookup!$J$93:$L$111,MATCH(AI42,Lookup!$J$93:$L$93,0),FALSE)))</f>
        <v>0</v>
      </c>
      <c r="AN42" s="1">
        <f>IF(H42="",0,VLOOKUP(H42,Lookup!$M$113:$O$128,MATCH(AI42,Lookup!$M$113:$O$113,0),FALSE))</f>
        <v>0</v>
      </c>
      <c r="AO42" s="1">
        <f>(IF(I42="",0,IF(AND(H42="Hvy W",I42="Hvy W"),0,VLOOKUP(I42,Lookup!$P$130:$R$137,MATCH(AI42,Lookup!$M$113:$O$113,0),FALSE))))</f>
        <v>0</v>
      </c>
      <c r="AP42" s="1">
        <f t="shared" si="22"/>
        <v>0</v>
      </c>
      <c r="AQ42" s="1">
        <f t="shared" si="23"/>
        <v>0</v>
      </c>
      <c r="AR42" s="1">
        <f t="shared" si="24"/>
        <v>0</v>
      </c>
      <c r="AS42" s="5">
        <f t="shared" si="25"/>
        <v>0</v>
      </c>
      <c r="AT42" s="1">
        <f t="shared" si="27"/>
        <v>0</v>
      </c>
      <c r="AU42" s="1">
        <f t="shared" si="26"/>
        <v>0</v>
      </c>
      <c r="AV42" s="1"/>
      <c r="AW42" s="1"/>
      <c r="AX42" s="1"/>
      <c r="AY42" s="1"/>
      <c r="AZ42" s="1"/>
      <c r="BA42" s="1"/>
    </row>
    <row r="43" spans="1:53" ht="16.5" customHeight="1" x14ac:dyDescent="0.2">
      <c r="A43" s="68"/>
      <c r="B43" s="78"/>
      <c r="C43" s="78"/>
      <c r="D43" s="78"/>
      <c r="E43" s="78"/>
      <c r="F43" s="78"/>
      <c r="G43" s="78"/>
      <c r="H43" s="78"/>
      <c r="I43" s="78"/>
      <c r="J43" s="78"/>
      <c r="K43" s="79"/>
      <c r="L43" s="54">
        <f t="shared" si="0"/>
        <v>0</v>
      </c>
      <c r="M43" s="55">
        <f t="shared" si="1"/>
        <v>0</v>
      </c>
      <c r="N43" s="55">
        <f t="shared" si="2"/>
        <v>0</v>
      </c>
      <c r="O43" s="56" t="str">
        <f t="shared" si="3"/>
        <v/>
      </c>
      <c r="P43" s="62" t="str">
        <f t="shared" si="4"/>
        <v/>
      </c>
      <c r="Q43" s="58"/>
      <c r="R43" s="59">
        <f>IF((AND(B43=B44,B43=B45,B43=J46)),4,IF(AND(B43=B44,B45=B43),3,IF(B43=B44,2,1)))</f>
        <v>4</v>
      </c>
      <c r="S43" s="60">
        <f>IF((AND(B43=B44,B43=B45,B43=J46)),V43,IF(AND(B43=B44,B45=B43),U43,IF(B43=B44,T43,N43)))</f>
        <v>0</v>
      </c>
      <c r="T43" s="61">
        <f t="shared" si="7"/>
        <v>0</v>
      </c>
      <c r="U43" s="61">
        <f t="shared" si="8"/>
        <v>0</v>
      </c>
      <c r="V43" s="61">
        <f t="shared" si="9"/>
        <v>0</v>
      </c>
      <c r="W43" s="59">
        <f>IF((AND(B43=B44,B43=B45,B43=J46)),Z43,IF(AND(B43=B44,B45=B43),Y43,IF(B43=B44,X43,(J43-AA43))))</f>
        <v>0</v>
      </c>
      <c r="X43" s="1">
        <f t="shared" si="11"/>
        <v>0</v>
      </c>
      <c r="Y43" s="1">
        <f t="shared" si="12"/>
        <v>0</v>
      </c>
      <c r="Z43" s="1">
        <f>(J43+J44+J45+I46)-(AA43+AA44+AA45+AA46)</f>
        <v>0</v>
      </c>
      <c r="AA43" s="6">
        <f t="shared" si="14"/>
        <v>0</v>
      </c>
      <c r="AB43" s="1">
        <f t="shared" si="15"/>
        <v>0</v>
      </c>
      <c r="AC43" s="1">
        <f t="shared" si="16"/>
        <v>0</v>
      </c>
      <c r="AD43" s="1">
        <f>IF(D43="",0,VLOOKUP(D43,Lookup!$W$144:$X$165,2,FALSE))</f>
        <v>0</v>
      </c>
      <c r="AE43" s="1">
        <f t="shared" si="17"/>
        <v>0</v>
      </c>
      <c r="AF43" s="1"/>
      <c r="AG43" s="1">
        <f t="shared" si="18"/>
        <v>0</v>
      </c>
      <c r="AH43" s="6" t="str">
        <f t="shared" si="19"/>
        <v>-</v>
      </c>
      <c r="AI43" s="1">
        <f t="shared" si="20"/>
        <v>0</v>
      </c>
      <c r="AJ43" s="1" t="str">
        <f>IF(ISERROR(VLOOKUP(G43,Lookup!$J$93:$M$111,4,FALSE)),"NS",VLOOKUP(G43,Lookup!$J$93:$M$111,4,FALSE))</f>
        <v>NS</v>
      </c>
      <c r="AK43" s="1" t="str">
        <f>IF(O43="",AK42,IF(R43=4,CONCATENATE(AJ43,H43,AJ44,H44,AJ45,H45,AJ46,G46),IF(R43=3,CONCATENATE(AJ43,H43,AJ44,H44,AJ45),IF(R43=2,CONCATENATE(AJ43,H43,AJ44,H44),"one"))))</f>
        <v>NSNSNSNS</v>
      </c>
      <c r="AL43" s="1">
        <f>IF(D43="",0,IF(D43="Portable Def",3,VLOOKUP(AH43,Lookup!$B$3:$F$69,MATCH(F43,Lookup!$B$3:$F$3,0),FALSE)))</f>
        <v>0</v>
      </c>
      <c r="AM43" s="1">
        <f>IF(D43="Naval",0,IF(G43="",0,VLOOKUP(G43,Lookup!$J$93:$L$111,MATCH(AI43,Lookup!$J$93:$L$93,0),FALSE)))</f>
        <v>0</v>
      </c>
      <c r="AN43" s="1">
        <f>IF(H43="",0,VLOOKUP(H43,Lookup!$M$113:$O$128,MATCH(AI43,Lookup!$M$113:$O$113,0),FALSE))</f>
        <v>0</v>
      </c>
      <c r="AO43" s="1">
        <f>(IF(I43="",0,IF(AND(H43="Hvy W",I43="Hvy W"),0,VLOOKUP(I43,Lookup!$P$130:$R$137,MATCH(AI43,Lookup!$M$113:$O$113,0),FALSE))))</f>
        <v>0</v>
      </c>
      <c r="AP43" s="1">
        <f t="shared" si="22"/>
        <v>0</v>
      </c>
      <c r="AQ43" s="1">
        <f t="shared" si="23"/>
        <v>0</v>
      </c>
      <c r="AR43" s="1">
        <f t="shared" si="24"/>
        <v>0</v>
      </c>
      <c r="AS43" s="5">
        <f t="shared" si="25"/>
        <v>0</v>
      </c>
      <c r="AT43" s="1">
        <f t="shared" si="27"/>
        <v>0</v>
      </c>
      <c r="AU43" s="1">
        <f t="shared" si="26"/>
        <v>0</v>
      </c>
      <c r="AV43" s="1"/>
      <c r="AW43" s="1"/>
      <c r="AX43" s="1"/>
      <c r="AY43" s="1"/>
      <c r="AZ43" s="1"/>
      <c r="BA43" s="1"/>
    </row>
    <row r="44" spans="1:53" ht="16.5" customHeight="1" x14ac:dyDescent="0.2">
      <c r="A44" s="68"/>
      <c r="B44" s="78"/>
      <c r="C44" s="78"/>
      <c r="D44" s="78"/>
      <c r="E44" s="78"/>
      <c r="F44" s="78"/>
      <c r="G44" s="78"/>
      <c r="H44" s="78"/>
      <c r="I44" s="78"/>
      <c r="J44" s="78"/>
      <c r="K44" s="79"/>
      <c r="L44" s="54">
        <f t="shared" si="0"/>
        <v>0</v>
      </c>
      <c r="M44" s="55">
        <f t="shared" si="1"/>
        <v>0</v>
      </c>
      <c r="N44" s="55">
        <f t="shared" si="2"/>
        <v>0</v>
      </c>
      <c r="O44" s="56" t="str">
        <f t="shared" si="3"/>
        <v/>
      </c>
      <c r="P44" s="62" t="str">
        <f t="shared" si="4"/>
        <v/>
      </c>
      <c r="Q44" s="58"/>
      <c r="R44" s="59">
        <f>IF((AND(B44=B45,B44=J46,B44=J47)),4,IF(AND(B44=B45,J46=B44),3,IF(B44=B45,2,1)))</f>
        <v>4</v>
      </c>
      <c r="S44" s="60">
        <f>IF((AND(B44=B45,B44=J46,B44=J47)),V44,IF(AND(B44=B45,J46=B44),U44,IF(B44=B45,T44,N44)))</f>
        <v>0</v>
      </c>
      <c r="T44" s="61">
        <f t="shared" si="7"/>
        <v>0</v>
      </c>
      <c r="U44" s="61">
        <f t="shared" si="8"/>
        <v>0</v>
      </c>
      <c r="V44" s="61">
        <f t="shared" si="9"/>
        <v>0</v>
      </c>
      <c r="W44" s="59">
        <f>IF((AND(B44=B45,B44=J46,B44=J47)),Z44,IF(AND(B44=B45,J46=B44),Y44,IF(B44=B45,X44,(J44-AA44))))</f>
        <v>0</v>
      </c>
      <c r="X44" s="1">
        <f t="shared" si="11"/>
        <v>0</v>
      </c>
      <c r="Y44" s="1">
        <f>(J44+J45+I46)-(AA44+AA45+AA46)</f>
        <v>0</v>
      </c>
      <c r="Z44" s="1">
        <f>(J44+J45+I46+I47)-(AA44+AA45+AA46+AA47)</f>
        <v>0</v>
      </c>
      <c r="AA44" s="6">
        <f t="shared" si="14"/>
        <v>0</v>
      </c>
      <c r="AB44" s="1">
        <f t="shared" si="15"/>
        <v>0</v>
      </c>
      <c r="AC44" s="1">
        <f t="shared" si="16"/>
        <v>0</v>
      </c>
      <c r="AD44" s="1">
        <f>IF(D44="",0,VLOOKUP(D44,Lookup!$W$144:$X$165,2,FALSE))</f>
        <v>0</v>
      </c>
      <c r="AE44" s="1">
        <f t="shared" si="17"/>
        <v>0</v>
      </c>
      <c r="AF44" s="1"/>
      <c r="AG44" s="1">
        <f t="shared" si="18"/>
        <v>0</v>
      </c>
      <c r="AH44" s="6" t="str">
        <f t="shared" si="19"/>
        <v>-</v>
      </c>
      <c r="AI44" s="1">
        <f t="shared" si="20"/>
        <v>0</v>
      </c>
      <c r="AJ44" s="1" t="str">
        <f>IF(ISERROR(VLOOKUP(G44,Lookup!$J$93:$M$111,4,FALSE)),"NS",VLOOKUP(G44,Lookup!$J$93:$M$111,4,FALSE))</f>
        <v>NS</v>
      </c>
      <c r="AK44" s="1" t="str">
        <f>IF(O44="",AK43,IF(R44=4,CONCATENATE(AJ44,H44,AJ45,H45,AJ46,G46,AJ47,G47),IF(R44=3,CONCATENATE(AJ44,H44,AJ45,H45,AJ46),IF(R44=2,CONCATENATE(AJ44,H44,AJ45,H45),"one"))))</f>
        <v>NSNSNSNS</v>
      </c>
      <c r="AL44" s="1">
        <f>IF(D44="",0,IF(D44="Portable Def",3,VLOOKUP(AH44,Lookup!$B$3:$F$69,MATCH(F44,Lookup!$B$3:$F$3,0),FALSE)))</f>
        <v>0</v>
      </c>
      <c r="AM44" s="1">
        <f>IF(D44="Naval",0,IF(G44="",0,VLOOKUP(G44,Lookup!$J$93:$L$111,MATCH(AI44,Lookup!$J$93:$L$93,0),FALSE)))</f>
        <v>0</v>
      </c>
      <c r="AN44" s="1">
        <f>IF(H44="",0,VLOOKUP(H44,Lookup!$M$113:$O$128,MATCH(AI44,Lookup!$M$113:$O$113,0),FALSE))</f>
        <v>0</v>
      </c>
      <c r="AO44" s="1">
        <f>(IF(I44="",0,IF(AND(H44="Hvy W",I44="Hvy W"),0,VLOOKUP(I44,Lookup!$P$130:$R$137,MATCH(AI44,Lookup!$M$113:$O$113,0),FALSE))))</f>
        <v>0</v>
      </c>
      <c r="AP44" s="1">
        <f t="shared" si="22"/>
        <v>0</v>
      </c>
      <c r="AQ44" s="1">
        <f t="shared" si="23"/>
        <v>0</v>
      </c>
      <c r="AR44" s="1">
        <f t="shared" si="24"/>
        <v>0</v>
      </c>
      <c r="AS44" s="5">
        <f t="shared" si="25"/>
        <v>0</v>
      </c>
      <c r="AT44" s="1">
        <f t="shared" si="27"/>
        <v>0</v>
      </c>
      <c r="AU44" s="1">
        <f t="shared" si="26"/>
        <v>0</v>
      </c>
      <c r="AV44" s="1"/>
      <c r="AW44" s="1"/>
      <c r="AX44" s="1"/>
      <c r="AY44" s="1"/>
      <c r="AZ44" s="1"/>
      <c r="BA44" s="1"/>
    </row>
    <row r="45" spans="1:53" ht="16.5" customHeight="1" x14ac:dyDescent="0.2">
      <c r="A45" s="80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63">
        <f t="shared" si="0"/>
        <v>0</v>
      </c>
      <c r="M45" s="55">
        <f t="shared" si="1"/>
        <v>0</v>
      </c>
      <c r="N45" s="64">
        <f t="shared" si="2"/>
        <v>0</v>
      </c>
      <c r="O45" s="65" t="str">
        <f t="shared" si="3"/>
        <v/>
      </c>
      <c r="P45" s="66" t="str">
        <f t="shared" si="4"/>
        <v/>
      </c>
      <c r="Q45" s="58"/>
      <c r="R45" s="59">
        <f>IF((AND(B45=J46,B45=J47,B45=J48)),4,IF(AND(B45=J46,J47=B45),3,IF(B45=J46,2,1)))</f>
        <v>4</v>
      </c>
      <c r="S45" s="60">
        <f>IF((AND(B45=J46,B45=J47,B45=J48)),V45,IF(AND(B45=J46,J47=B45),U45,IF(B45=J46,T45,N45)))</f>
        <v>0</v>
      </c>
      <c r="T45" s="61">
        <f t="shared" si="7"/>
        <v>0</v>
      </c>
      <c r="U45" s="61">
        <f t="shared" si="8"/>
        <v>0</v>
      </c>
      <c r="V45" s="61">
        <f t="shared" si="9"/>
        <v>0</v>
      </c>
      <c r="W45" s="59">
        <f>IF((AND(B45=J46,B45=J47,B45=J48)),Z45,IF(AND(B45=J46,J47=B45),Y45,IF(B45=J46,X45,(J45-AA45))))</f>
        <v>0</v>
      </c>
      <c r="X45" s="1">
        <f>(J45+I46)-(AA45+AA46)</f>
        <v>0</v>
      </c>
      <c r="Y45" s="1">
        <f>(J45+I46+I47)-(AA45+AA46+AA47)</f>
        <v>0</v>
      </c>
      <c r="Z45" s="1">
        <f>(J45+I46+I47+I48)-(AA45+AA46+AA47+AA48)</f>
        <v>0</v>
      </c>
      <c r="AA45" s="6">
        <f t="shared" si="14"/>
        <v>0</v>
      </c>
      <c r="AB45" s="1">
        <f t="shared" si="15"/>
        <v>0</v>
      </c>
      <c r="AC45" s="1">
        <f t="shared" si="16"/>
        <v>0</v>
      </c>
      <c r="AD45" s="1">
        <f>IF(D45="",0,VLOOKUP(D45,Lookup!$W$144:$X$165,2,FALSE))</f>
        <v>0</v>
      </c>
      <c r="AE45" s="1">
        <f t="shared" si="17"/>
        <v>0</v>
      </c>
      <c r="AF45" s="1"/>
      <c r="AG45" s="1">
        <f t="shared" si="18"/>
        <v>0</v>
      </c>
      <c r="AH45" s="6" t="str">
        <f t="shared" si="19"/>
        <v>-</v>
      </c>
      <c r="AI45" s="1">
        <f t="shared" si="20"/>
        <v>0</v>
      </c>
      <c r="AJ45" s="1" t="str">
        <f>IF(ISERROR(VLOOKUP(G45,Lookup!$J$93:$M$111,4,FALSE)),"NS",VLOOKUP(G45,Lookup!$J$93:$M$111,4,FALSE))</f>
        <v>NS</v>
      </c>
      <c r="AK45" s="1" t="str">
        <f>IF(O45="",AK44,IF(R45=4,CONCATENATE(AJ45,H45,AJ46,G46,AJ47,G47,AJ48,G48),IF(R45=3,CONCATENATE(AJ45,H45,AJ46,G46,AJ47),IF(R45=2,CONCATENATE(AJ45,H45,AJ46,G46),"one"))))</f>
        <v>NSNSNSNS</v>
      </c>
      <c r="AL45" s="1">
        <f>IF(D45="",0,IF(D45="Portable Def",3,VLOOKUP(AH45,Lookup!$B$3:$F$69,MATCH(F45,Lookup!$B$3:$F$3,0),FALSE)))</f>
        <v>0</v>
      </c>
      <c r="AM45" s="1">
        <f>IF(D45="Naval",0,IF(G45="",0,VLOOKUP(G45,Lookup!$J$93:$L$111,MATCH(AI45,Lookup!$J$93:$L$93,0),FALSE)))</f>
        <v>0</v>
      </c>
      <c r="AN45" s="1">
        <f>IF(H45="",0,VLOOKUP(H45,Lookup!$M$113:$O$128,MATCH(AI45,Lookup!$M$113:$O$113,0),FALSE))</f>
        <v>0</v>
      </c>
      <c r="AO45" s="1">
        <f>(IF(I45="",0,IF(AND(H45="Hvy W",I45="Hvy W"),0,VLOOKUP(I45,Lookup!$P$130:$R$137,MATCH(AI45,Lookup!$M$113:$O$113,0),FALSE))))</f>
        <v>0</v>
      </c>
      <c r="AP45" s="1">
        <f t="shared" si="22"/>
        <v>0</v>
      </c>
      <c r="AQ45" s="1">
        <f t="shared" si="23"/>
        <v>0</v>
      </c>
      <c r="AR45" s="1">
        <f t="shared" si="24"/>
        <v>0</v>
      </c>
      <c r="AS45" s="5">
        <f t="shared" si="25"/>
        <v>0</v>
      </c>
      <c r="AT45" s="1">
        <f t="shared" si="27"/>
        <v>0</v>
      </c>
      <c r="AU45" s="1">
        <f t="shared" si="26"/>
        <v>0</v>
      </c>
      <c r="AV45" s="1"/>
      <c r="AW45" s="1"/>
      <c r="AX45" s="1"/>
      <c r="AY45" s="1"/>
      <c r="AZ45" s="1"/>
      <c r="BA45" s="1"/>
    </row>
    <row r="46" spans="1:53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6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</row>
    <row r="47" spans="1:53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</row>
    <row r="48" spans="1:53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1"/>
      <c r="AV48" s="1"/>
      <c r="AW48" s="1"/>
      <c r="AX48" s="1"/>
      <c r="AY48" s="1"/>
      <c r="AZ48" s="1"/>
      <c r="BA48" s="1"/>
    </row>
    <row r="49" spans="1:53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</row>
    <row r="50" spans="1:53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</row>
    <row r="51" spans="1:53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</row>
    <row r="52" spans="1:53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 t="s">
        <v>252</v>
      </c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</row>
    <row r="53" spans="1:53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2" t="s">
        <v>102</v>
      </c>
      <c r="Y53" s="2" t="s">
        <v>225</v>
      </c>
      <c r="Z53" s="2"/>
      <c r="AA53" s="2" t="s">
        <v>226</v>
      </c>
      <c r="AB53" s="2" t="s">
        <v>163</v>
      </c>
      <c r="AC53" s="2" t="s">
        <v>182</v>
      </c>
      <c r="AD53" s="2" t="s">
        <v>195</v>
      </c>
      <c r="AE53" s="2" t="s">
        <v>253</v>
      </c>
      <c r="AF53" s="2" t="s">
        <v>197</v>
      </c>
      <c r="AG53" s="2" t="s">
        <v>197</v>
      </c>
      <c r="AH53" s="2" t="s">
        <v>254</v>
      </c>
      <c r="AI53" s="2" t="s">
        <v>255</v>
      </c>
      <c r="AJ53" s="2" t="s">
        <v>256</v>
      </c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</row>
    <row r="54" spans="1:53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 t="s">
        <v>200</v>
      </c>
      <c r="AG54" s="1" t="s">
        <v>198</v>
      </c>
      <c r="AH54" s="1" t="s">
        <v>257</v>
      </c>
      <c r="AI54" s="1" t="s">
        <v>258</v>
      </c>
      <c r="AJ54" s="1" t="s">
        <v>217</v>
      </c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</row>
    <row r="55" spans="1:53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 t="s">
        <v>139</v>
      </c>
      <c r="Y55" s="1" t="s">
        <v>259</v>
      </c>
      <c r="Z55" s="1"/>
      <c r="AA55" s="1" t="s">
        <v>4</v>
      </c>
      <c r="AB55" s="1" t="s">
        <v>165</v>
      </c>
      <c r="AC55" s="1" t="s">
        <v>183</v>
      </c>
      <c r="AD55" s="1" t="s">
        <v>170</v>
      </c>
      <c r="AE55" s="1" t="s">
        <v>260</v>
      </c>
      <c r="AF55" s="1" t="s">
        <v>201</v>
      </c>
      <c r="AG55" s="1" t="s">
        <v>199</v>
      </c>
      <c r="AH55" s="1" t="s">
        <v>261</v>
      </c>
      <c r="AI55" s="1" t="s">
        <v>262</v>
      </c>
      <c r="AJ55" s="1" t="s">
        <v>263</v>
      </c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</row>
    <row r="56" spans="1:53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 t="s">
        <v>141</v>
      </c>
      <c r="Y56" s="1" t="s">
        <v>264</v>
      </c>
      <c r="Z56" s="1"/>
      <c r="AA56" s="1" t="s">
        <v>5</v>
      </c>
      <c r="AB56" s="1" t="s">
        <v>167</v>
      </c>
      <c r="AC56" s="1" t="s">
        <v>184</v>
      </c>
      <c r="AD56" s="1" t="s">
        <v>187</v>
      </c>
      <c r="AE56" s="1" t="s">
        <v>265</v>
      </c>
      <c r="AF56" s="1" t="s">
        <v>202</v>
      </c>
      <c r="AG56" s="1"/>
      <c r="AH56" s="1" t="s">
        <v>266</v>
      </c>
      <c r="AI56" s="1" t="s">
        <v>267</v>
      </c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</row>
    <row r="57" spans="1:53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 t="s">
        <v>142</v>
      </c>
      <c r="Y57" s="1" t="s">
        <v>268</v>
      </c>
      <c r="Z57" s="1"/>
      <c r="AA57" s="1" t="s">
        <v>6</v>
      </c>
      <c r="AB57" s="1" t="s">
        <v>168</v>
      </c>
      <c r="AC57" s="1" t="s">
        <v>170</v>
      </c>
      <c r="AD57" s="1" t="s">
        <v>188</v>
      </c>
      <c r="AE57" s="1" t="s">
        <v>269</v>
      </c>
      <c r="AF57" s="1"/>
      <c r="AG57" s="1"/>
      <c r="AH57" s="1" t="s">
        <v>270</v>
      </c>
      <c r="AI57" s="1" t="s">
        <v>271</v>
      </c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</row>
    <row r="58" spans="1:53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 t="s">
        <v>143</v>
      </c>
      <c r="Y58" s="1" t="s">
        <v>272</v>
      </c>
      <c r="Z58" s="1"/>
      <c r="AA58" s="1" t="s">
        <v>7</v>
      </c>
      <c r="AB58" s="1" t="s">
        <v>169</v>
      </c>
      <c r="AC58" s="1" t="s">
        <v>186</v>
      </c>
      <c r="AD58" s="1" t="s">
        <v>186</v>
      </c>
      <c r="AE58" s="1"/>
      <c r="AF58" s="1"/>
      <c r="AG58" s="1"/>
      <c r="AH58" s="1" t="s">
        <v>273</v>
      </c>
      <c r="AI58" s="1" t="s">
        <v>274</v>
      </c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</row>
    <row r="59" spans="1:53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 t="s">
        <v>145</v>
      </c>
      <c r="Y59" s="1"/>
      <c r="Z59" s="1"/>
      <c r="AA59" s="1"/>
      <c r="AB59" s="1" t="s">
        <v>170</v>
      </c>
      <c r="AC59" s="1" t="s">
        <v>187</v>
      </c>
      <c r="AD59" s="1" t="s">
        <v>194</v>
      </c>
      <c r="AE59" s="1" t="s">
        <v>275</v>
      </c>
      <c r="AF59" s="1"/>
      <c r="AG59" s="1"/>
      <c r="AH59" s="1" t="s">
        <v>276</v>
      </c>
      <c r="AI59" s="1" t="s">
        <v>277</v>
      </c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</row>
    <row r="60" spans="1:53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 t="s">
        <v>146</v>
      </c>
      <c r="Y60" s="1"/>
      <c r="Z60" s="1"/>
      <c r="AA60" s="1"/>
      <c r="AB60" s="1" t="s">
        <v>171</v>
      </c>
      <c r="AC60" s="1" t="s">
        <v>188</v>
      </c>
      <c r="AD60" s="1" t="s">
        <v>196</v>
      </c>
      <c r="AE60" s="1" t="s">
        <v>278</v>
      </c>
      <c r="AF60" s="1"/>
      <c r="AG60" s="1"/>
      <c r="AH60" s="1" t="s">
        <v>279</v>
      </c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</row>
    <row r="61" spans="1:53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 t="s">
        <v>147</v>
      </c>
      <c r="Y61" s="1"/>
      <c r="Z61" s="1"/>
      <c r="AA61" s="1"/>
      <c r="AB61" s="1" t="s">
        <v>172</v>
      </c>
      <c r="AC61" s="1" t="s">
        <v>189</v>
      </c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</row>
    <row r="62" spans="1:53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 t="s">
        <v>148</v>
      </c>
      <c r="Y62" s="1"/>
      <c r="Z62" s="1"/>
      <c r="AA62" s="1"/>
      <c r="AB62" s="1" t="s">
        <v>173</v>
      </c>
      <c r="AC62" s="1" t="s">
        <v>190</v>
      </c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</row>
    <row r="63" spans="1:53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 t="s">
        <v>149</v>
      </c>
      <c r="Y63" s="1"/>
      <c r="Z63" s="1"/>
      <c r="AA63" s="1"/>
      <c r="AB63" s="1" t="s">
        <v>174</v>
      </c>
      <c r="AC63" s="1" t="s">
        <v>191</v>
      </c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</row>
    <row r="64" spans="1:53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 t="s">
        <v>150</v>
      </c>
      <c r="Y64" s="1"/>
      <c r="Z64" s="1"/>
      <c r="AA64" s="1"/>
      <c r="AB64" s="1" t="s">
        <v>176</v>
      </c>
      <c r="AC64" s="1" t="s">
        <v>192</v>
      </c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</row>
    <row r="65" spans="1:53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 t="s">
        <v>151</v>
      </c>
      <c r="Y65" s="1"/>
      <c r="Z65" s="1"/>
      <c r="AA65" s="1"/>
      <c r="AB65" s="1" t="s">
        <v>177</v>
      </c>
      <c r="AC65" s="1" t="s">
        <v>178</v>
      </c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</row>
    <row r="66" spans="1:53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 t="s">
        <v>152</v>
      </c>
      <c r="Y66" s="1"/>
      <c r="Z66" s="1"/>
      <c r="AA66" s="1"/>
      <c r="AB66" s="1" t="s">
        <v>156</v>
      </c>
      <c r="AC66" s="1" t="s">
        <v>193</v>
      </c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</row>
    <row r="67" spans="1:53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 t="s">
        <v>153</v>
      </c>
      <c r="Y67" s="1"/>
      <c r="Z67" s="1"/>
      <c r="AA67" s="1"/>
      <c r="AB67" s="1" t="s">
        <v>178</v>
      </c>
      <c r="AC67" s="1" t="s">
        <v>194</v>
      </c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</row>
    <row r="68" spans="1:53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 t="s">
        <v>154</v>
      </c>
      <c r="Y68" s="1"/>
      <c r="Z68" s="1"/>
      <c r="AA68" s="1"/>
      <c r="AB68" s="1" t="s">
        <v>179</v>
      </c>
      <c r="AC68" s="1" t="s">
        <v>156</v>
      </c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</row>
    <row r="69" spans="1:53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 t="s">
        <v>155</v>
      </c>
      <c r="Y69" s="1"/>
      <c r="Z69" s="1"/>
      <c r="AA69" s="1"/>
      <c r="AB69" s="1" t="s">
        <v>180</v>
      </c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</row>
    <row r="70" spans="1:53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6" t="s">
        <v>156</v>
      </c>
      <c r="Y70" s="1"/>
      <c r="Z70" s="1"/>
      <c r="AA70" s="1"/>
      <c r="AB70" s="1" t="s">
        <v>181</v>
      </c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</row>
    <row r="71" spans="1:53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6" t="s">
        <v>162</v>
      </c>
      <c r="Y71" s="1"/>
      <c r="Z71" s="1"/>
      <c r="AA71" s="1"/>
      <c r="AB71" s="1" t="s">
        <v>136</v>
      </c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</row>
    <row r="72" spans="1:53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6" t="s">
        <v>157</v>
      </c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</row>
    <row r="73" spans="1:53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6" t="s">
        <v>159</v>
      </c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</row>
    <row r="74" spans="1:53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6" t="s">
        <v>161</v>
      </c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</row>
    <row r="75" spans="1:53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6" t="s">
        <v>136</v>
      </c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</row>
    <row r="76" spans="1:53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 t="s">
        <v>259</v>
      </c>
      <c r="AI76" s="1" t="s">
        <v>264</v>
      </c>
      <c r="AJ76" s="1" t="s">
        <v>268</v>
      </c>
      <c r="AK76" s="1" t="s">
        <v>272</v>
      </c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</row>
    <row r="77" spans="1:53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 t="s">
        <v>139</v>
      </c>
      <c r="AH77" s="1" t="str">
        <f t="shared" ref="AH77:AH93" si="28">CONCATENATE($AH$76,"-",AG77)</f>
        <v>Fully Armd-Gendarme</v>
      </c>
      <c r="AI77" s="1" t="str">
        <f t="shared" ref="AI77:AI93" si="29">CONCATENATE($AI$76,"-",AG77)</f>
        <v>Hvy Armd-Gendarme</v>
      </c>
      <c r="AJ77" s="1" t="str">
        <f t="shared" ref="AJ77:AJ93" si="30">CONCATENATE($AJ$76,"-",AG77)</f>
        <v>Armoured-Gendarme</v>
      </c>
      <c r="AK77" s="1" t="str">
        <f t="shared" ref="AK77:AK93" si="31">CONCATENATE($AK$76,"-",AG77)</f>
        <v>Unarmoured-Gendarme</v>
      </c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</row>
    <row r="78" spans="1:53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 t="s">
        <v>141</v>
      </c>
      <c r="AH78" s="1" t="str">
        <f t="shared" si="28"/>
        <v>Fully Armd-Horse</v>
      </c>
      <c r="AI78" s="1" t="str">
        <f t="shared" si="29"/>
        <v>Hvy Armd-Horse</v>
      </c>
      <c r="AJ78" s="1" t="str">
        <f t="shared" si="30"/>
        <v>Armoured-Horse</v>
      </c>
      <c r="AK78" s="1" t="str">
        <f t="shared" si="31"/>
        <v>Unarmoured-Horse</v>
      </c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</row>
    <row r="79" spans="1:53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 t="s">
        <v>142</v>
      </c>
      <c r="AH79" s="1" t="str">
        <f t="shared" si="28"/>
        <v>Fully Armd-Dt Horse</v>
      </c>
      <c r="AI79" s="1" t="str">
        <f t="shared" si="29"/>
        <v>Hvy Armd-Dt Horse</v>
      </c>
      <c r="AJ79" s="1" t="str">
        <f t="shared" si="30"/>
        <v>Armoured-Dt Horse</v>
      </c>
      <c r="AK79" s="1" t="str">
        <f t="shared" si="31"/>
        <v>Unarmoured-Dt Horse</v>
      </c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</row>
    <row r="80" spans="1:53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 t="s">
        <v>143</v>
      </c>
      <c r="AH80" s="1" t="str">
        <f t="shared" si="28"/>
        <v>Fully Armd-Dragoon</v>
      </c>
      <c r="AI80" s="1" t="str">
        <f t="shared" si="29"/>
        <v>Hvy Armd-Dragoon</v>
      </c>
      <c r="AJ80" s="1" t="str">
        <f t="shared" si="30"/>
        <v>Armoured-Dragoon</v>
      </c>
      <c r="AK80" s="1" t="str">
        <f t="shared" si="31"/>
        <v>Unarmoured-Dragoon</v>
      </c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</row>
    <row r="81" spans="1:53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 t="s">
        <v>145</v>
      </c>
      <c r="AH81" s="1" t="str">
        <f t="shared" si="28"/>
        <v>Fully Armd-Cavalier</v>
      </c>
      <c r="AI81" s="1" t="str">
        <f t="shared" si="29"/>
        <v>Hvy Armd-Cavalier</v>
      </c>
      <c r="AJ81" s="1" t="str">
        <f t="shared" si="30"/>
        <v>Armoured-Cavalier</v>
      </c>
      <c r="AK81" s="1" t="str">
        <f t="shared" si="31"/>
        <v>Unarmoured-Cavalier</v>
      </c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</row>
    <row r="82" spans="1:53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 t="s">
        <v>146</v>
      </c>
      <c r="AH82" s="1" t="str">
        <f t="shared" si="28"/>
        <v>Fully Armd-Cavalry</v>
      </c>
      <c r="AI82" s="1" t="str">
        <f t="shared" si="29"/>
        <v>Hvy Armd-Cavalry</v>
      </c>
      <c r="AJ82" s="1" t="str">
        <f t="shared" si="30"/>
        <v>Armoured-Cavalry</v>
      </c>
      <c r="AK82" s="1" t="str">
        <f t="shared" si="31"/>
        <v>Unarmoured-Cavalry</v>
      </c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</row>
    <row r="83" spans="1:53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 t="s">
        <v>147</v>
      </c>
      <c r="AH83" s="1" t="str">
        <f t="shared" si="28"/>
        <v>Fully Armd-LH</v>
      </c>
      <c r="AI83" s="1" t="str">
        <f t="shared" si="29"/>
        <v>Hvy Armd-LH</v>
      </c>
      <c r="AJ83" s="1" t="str">
        <f t="shared" si="30"/>
        <v>Armoured-LH</v>
      </c>
      <c r="AK83" s="1" t="str">
        <f t="shared" si="31"/>
        <v>Unarmoured-LH</v>
      </c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</row>
    <row r="84" spans="1:53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 t="s">
        <v>148</v>
      </c>
      <c r="AH84" s="1" t="str">
        <f t="shared" si="28"/>
        <v>Fully Armd-HF</v>
      </c>
      <c r="AI84" s="1" t="str">
        <f t="shared" si="29"/>
        <v>Hvy Armd-HF</v>
      </c>
      <c r="AJ84" s="1" t="str">
        <f t="shared" si="30"/>
        <v>Armoured-HF</v>
      </c>
      <c r="AK84" s="1" t="str">
        <f t="shared" si="31"/>
        <v>Unarmoured-HF</v>
      </c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</row>
    <row r="85" spans="1:53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 t="s">
        <v>150</v>
      </c>
      <c r="AH85" s="1" t="str">
        <f t="shared" si="28"/>
        <v>Fully Armd-MF</v>
      </c>
      <c r="AI85" s="1" t="str">
        <f t="shared" si="29"/>
        <v>Hvy Armd-MF</v>
      </c>
      <c r="AJ85" s="1" t="str">
        <f t="shared" si="30"/>
        <v>Armoured-MF</v>
      </c>
      <c r="AK85" s="1" t="str">
        <f t="shared" si="31"/>
        <v>Unarmoured-MF</v>
      </c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</row>
    <row r="86" spans="1:53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 t="s">
        <v>151</v>
      </c>
      <c r="AH86" s="1" t="str">
        <f t="shared" si="28"/>
        <v>Fully Armd-LF</v>
      </c>
      <c r="AI86" s="1" t="str">
        <f t="shared" si="29"/>
        <v>Hvy Armd-LF</v>
      </c>
      <c r="AJ86" s="1" t="str">
        <f t="shared" si="30"/>
        <v>Armoured-LF</v>
      </c>
      <c r="AK86" s="1" t="str">
        <f t="shared" si="31"/>
        <v>Unarmoured-LF</v>
      </c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</row>
    <row r="87" spans="1:53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 t="s">
        <v>153</v>
      </c>
      <c r="AH87" s="1" t="str">
        <f t="shared" si="28"/>
        <v>Fully Armd-Artillery</v>
      </c>
      <c r="AI87" s="1" t="str">
        <f t="shared" si="29"/>
        <v>Hvy Armd-Artillery</v>
      </c>
      <c r="AJ87" s="1" t="str">
        <f t="shared" si="30"/>
        <v>Armoured-Artillery</v>
      </c>
      <c r="AK87" s="1" t="str">
        <f t="shared" si="31"/>
        <v>Unarmoured-Artillery</v>
      </c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</row>
    <row r="88" spans="1:53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 t="s">
        <v>154</v>
      </c>
      <c r="AH88" s="1" t="str">
        <f t="shared" si="28"/>
        <v>Fully Armd-Battle Wg</v>
      </c>
      <c r="AI88" s="1" t="str">
        <f t="shared" si="29"/>
        <v>Hvy Armd-Battle Wg</v>
      </c>
      <c r="AJ88" s="1" t="str">
        <f t="shared" si="30"/>
        <v>Armoured-Battle Wg</v>
      </c>
      <c r="AK88" s="1" t="str">
        <f t="shared" si="31"/>
        <v>Unarmoured-Battle Wg</v>
      </c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</row>
    <row r="89" spans="1:53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 t="s">
        <v>156</v>
      </c>
      <c r="AH89" s="1" t="str">
        <f t="shared" si="28"/>
        <v>Fully Armd-Reg Gun</v>
      </c>
      <c r="AI89" s="1" t="str">
        <f t="shared" si="29"/>
        <v>Hvy Armd-Reg Gun</v>
      </c>
      <c r="AJ89" s="1" t="str">
        <f t="shared" si="30"/>
        <v>Armoured-Reg Gun</v>
      </c>
      <c r="AK89" s="1" t="str">
        <f t="shared" si="31"/>
        <v>Unarmoured-Reg Gun</v>
      </c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</row>
    <row r="90" spans="1:53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 t="s">
        <v>157</v>
      </c>
      <c r="AH90" s="1" t="str">
        <f t="shared" si="28"/>
        <v>Fully Armd-Camelry</v>
      </c>
      <c r="AI90" s="1" t="str">
        <f t="shared" si="29"/>
        <v>Hvy Armd-Camelry</v>
      </c>
      <c r="AJ90" s="1" t="str">
        <f t="shared" si="30"/>
        <v>Armoured-Camelry</v>
      </c>
      <c r="AK90" s="1" t="str">
        <f t="shared" si="31"/>
        <v>Unarmoured-Camelry</v>
      </c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</row>
    <row r="91" spans="1:53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 t="s">
        <v>159</v>
      </c>
      <c r="AH91" s="1" t="str">
        <f t="shared" si="28"/>
        <v>Fully Armd-Elephant</v>
      </c>
      <c r="AI91" s="1" t="str">
        <f t="shared" si="29"/>
        <v>Hvy Armd-Elephant</v>
      </c>
      <c r="AJ91" s="1" t="str">
        <f t="shared" si="30"/>
        <v>Armoured-Elephant</v>
      </c>
      <c r="AK91" s="1" t="str">
        <f t="shared" si="31"/>
        <v>Unarmoured-Elephant</v>
      </c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</row>
    <row r="92" spans="1:53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 t="s">
        <v>160</v>
      </c>
      <c r="AH92" s="1" t="str">
        <f t="shared" si="28"/>
        <v xml:space="preserve">Fully Armd-Naval </v>
      </c>
      <c r="AI92" s="1" t="str">
        <f t="shared" si="29"/>
        <v xml:space="preserve">Hvy Armd-Naval </v>
      </c>
      <c r="AJ92" s="1" t="str">
        <f t="shared" si="30"/>
        <v xml:space="preserve">Armoured-Naval </v>
      </c>
      <c r="AK92" s="1" t="str">
        <f t="shared" si="31"/>
        <v xml:space="preserve">Unarmoured-Naval </v>
      </c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</row>
    <row r="93" spans="1:53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 t="s">
        <v>161</v>
      </c>
      <c r="AH93" s="1" t="str">
        <f t="shared" si="28"/>
        <v>Fully Armd-Mob</v>
      </c>
      <c r="AI93" s="1" t="str">
        <f t="shared" si="29"/>
        <v>Hvy Armd-Mob</v>
      </c>
      <c r="AJ93" s="1" t="str">
        <f t="shared" si="30"/>
        <v>Armoured-Mob</v>
      </c>
      <c r="AK93" s="1" t="str">
        <f t="shared" si="31"/>
        <v>Unarmoured-Mob</v>
      </c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</row>
    <row r="94" spans="1:53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</row>
    <row r="95" spans="1:53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</row>
    <row r="96" spans="1:53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</row>
    <row r="97" spans="1:53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</row>
    <row r="98" spans="1:53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</row>
    <row r="99" spans="1:53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</row>
    <row r="100" spans="1:53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</row>
    <row r="101" spans="1:53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</row>
    <row r="102" spans="1:53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</row>
    <row r="103" spans="1:53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</row>
    <row r="104" spans="1:53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</row>
    <row r="105" spans="1:53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</row>
    <row r="106" spans="1:53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</row>
    <row r="107" spans="1:53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</row>
    <row r="108" spans="1:53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</row>
    <row r="109" spans="1:53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</row>
    <row r="110" spans="1:53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</row>
    <row r="111" spans="1:53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</row>
    <row r="112" spans="1:53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</row>
    <row r="113" spans="1:53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</row>
    <row r="114" spans="1:53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</row>
    <row r="115" spans="1:53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</row>
    <row r="116" spans="1:53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</row>
    <row r="117" spans="1:53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</row>
    <row r="118" spans="1:53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</row>
    <row r="119" spans="1:53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</row>
    <row r="120" spans="1:53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</row>
    <row r="121" spans="1:53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</row>
    <row r="122" spans="1:53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</row>
    <row r="123" spans="1:53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</row>
    <row r="124" spans="1:53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</row>
    <row r="125" spans="1:53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</row>
    <row r="126" spans="1:53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</row>
    <row r="127" spans="1:53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</row>
    <row r="128" spans="1:53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</row>
    <row r="129" spans="1:53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</row>
    <row r="130" spans="1:53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</row>
    <row r="131" spans="1:53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</row>
    <row r="132" spans="1:53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</row>
    <row r="133" spans="1:53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</row>
    <row r="134" spans="1:53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</row>
    <row r="135" spans="1:53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</row>
    <row r="136" spans="1:53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</row>
    <row r="137" spans="1:53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</row>
    <row r="138" spans="1:53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</row>
    <row r="139" spans="1:53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</row>
    <row r="140" spans="1:53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</row>
    <row r="141" spans="1:53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</row>
    <row r="142" spans="1:53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</row>
    <row r="143" spans="1:53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</row>
    <row r="144" spans="1:53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</row>
    <row r="145" spans="1:53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</row>
    <row r="146" spans="1:53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</row>
    <row r="147" spans="1:53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</row>
    <row r="148" spans="1:53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</row>
    <row r="149" spans="1:53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</row>
    <row r="150" spans="1:53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</row>
    <row r="151" spans="1:53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</row>
    <row r="152" spans="1:53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</row>
    <row r="153" spans="1:53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</row>
    <row r="154" spans="1:53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</row>
    <row r="155" spans="1:53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</row>
    <row r="156" spans="1:53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</row>
    <row r="157" spans="1:53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</row>
    <row r="158" spans="1:53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</row>
    <row r="159" spans="1:53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</row>
    <row r="160" spans="1:53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</row>
    <row r="161" spans="1:53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</row>
    <row r="162" spans="1:53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</row>
    <row r="163" spans="1:53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</row>
    <row r="164" spans="1:53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</row>
    <row r="165" spans="1:53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</row>
    <row r="166" spans="1:53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</row>
    <row r="167" spans="1:53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</row>
    <row r="168" spans="1:53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</row>
    <row r="169" spans="1:53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</row>
    <row r="170" spans="1:53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</row>
    <row r="171" spans="1:53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</row>
    <row r="172" spans="1:53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</row>
    <row r="173" spans="1:53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</row>
    <row r="174" spans="1:53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</row>
    <row r="175" spans="1:53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</row>
    <row r="176" spans="1:53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</row>
    <row r="177" spans="1:53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</row>
    <row r="178" spans="1:53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</row>
    <row r="179" spans="1:53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</row>
    <row r="180" spans="1:53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</row>
    <row r="181" spans="1:53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</row>
    <row r="182" spans="1:53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</row>
    <row r="183" spans="1:53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</row>
    <row r="184" spans="1:53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</row>
    <row r="185" spans="1:53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</row>
    <row r="186" spans="1:53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</row>
    <row r="187" spans="1:53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</row>
    <row r="188" spans="1:53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</row>
    <row r="189" spans="1:53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</row>
    <row r="190" spans="1:53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</row>
    <row r="191" spans="1:53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</row>
    <row r="192" spans="1:53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</row>
    <row r="193" spans="1:53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</row>
    <row r="194" spans="1:53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</row>
    <row r="195" spans="1:53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</row>
    <row r="196" spans="1:53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</row>
    <row r="197" spans="1:53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</row>
    <row r="198" spans="1:53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</row>
    <row r="199" spans="1:53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</row>
    <row r="200" spans="1:53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</row>
    <row r="201" spans="1:53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</row>
    <row r="202" spans="1:53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</row>
    <row r="203" spans="1:53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</row>
    <row r="204" spans="1:53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</row>
    <row r="205" spans="1:53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</row>
    <row r="206" spans="1:53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</row>
    <row r="207" spans="1:53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</row>
    <row r="208" spans="1:53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</row>
    <row r="209" spans="1:53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</row>
    <row r="210" spans="1:53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</row>
    <row r="211" spans="1:53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</row>
    <row r="212" spans="1:53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</row>
    <row r="213" spans="1:53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</row>
    <row r="214" spans="1:53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</row>
    <row r="215" spans="1:53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</row>
    <row r="216" spans="1:53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</row>
    <row r="217" spans="1:53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</row>
    <row r="218" spans="1:53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</row>
    <row r="219" spans="1:53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</row>
    <row r="220" spans="1:53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</row>
    <row r="221" spans="1:53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</row>
    <row r="222" spans="1:53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</row>
    <row r="223" spans="1:53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</row>
    <row r="224" spans="1:53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</row>
    <row r="225" spans="1:53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</row>
    <row r="226" spans="1:53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</row>
    <row r="227" spans="1:53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</row>
    <row r="228" spans="1:53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</row>
    <row r="229" spans="1:53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</row>
    <row r="230" spans="1:53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</row>
    <row r="231" spans="1:53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</row>
    <row r="232" spans="1:53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</row>
    <row r="233" spans="1:53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</row>
    <row r="234" spans="1:53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</row>
    <row r="235" spans="1:53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</row>
    <row r="236" spans="1:53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</row>
    <row r="237" spans="1:53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</row>
    <row r="238" spans="1:53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</row>
    <row r="239" spans="1:53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</row>
    <row r="240" spans="1:53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</row>
    <row r="241" spans="1:53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</row>
    <row r="242" spans="1:53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</row>
    <row r="243" spans="1:53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</row>
    <row r="244" spans="1:53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</row>
    <row r="245" spans="1:53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</row>
    <row r="246" spans="1:53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</row>
    <row r="247" spans="1:53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</row>
    <row r="248" spans="1:53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</row>
    <row r="249" spans="1:53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</row>
    <row r="250" spans="1:53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</row>
    <row r="251" spans="1:53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</row>
    <row r="252" spans="1:53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</row>
    <row r="253" spans="1:53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</row>
    <row r="254" spans="1:53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</row>
    <row r="255" spans="1:53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</row>
    <row r="256" spans="1:53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</row>
    <row r="257" spans="1:53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</row>
    <row r="258" spans="1:53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</row>
    <row r="259" spans="1:53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</row>
    <row r="260" spans="1:53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</row>
    <row r="261" spans="1:53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</row>
    <row r="262" spans="1:53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</row>
    <row r="263" spans="1:53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</row>
    <row r="264" spans="1:53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</row>
    <row r="265" spans="1:53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</row>
    <row r="266" spans="1:53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</row>
    <row r="267" spans="1:53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</row>
    <row r="268" spans="1:53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</row>
    <row r="269" spans="1:53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</row>
    <row r="270" spans="1:53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</row>
    <row r="271" spans="1:53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</row>
    <row r="272" spans="1:53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</row>
    <row r="273" spans="1:53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</row>
    <row r="274" spans="1:53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</row>
    <row r="275" spans="1:53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</row>
    <row r="276" spans="1:53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</row>
    <row r="277" spans="1:53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</row>
    <row r="278" spans="1:53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</row>
    <row r="279" spans="1:53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</row>
    <row r="280" spans="1:53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</row>
    <row r="281" spans="1:53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</row>
    <row r="282" spans="1:53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</row>
    <row r="283" spans="1:53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</row>
    <row r="284" spans="1:53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</row>
    <row r="285" spans="1:53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</row>
    <row r="286" spans="1:53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</row>
    <row r="287" spans="1:53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</row>
    <row r="288" spans="1:53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</row>
    <row r="289" spans="1:53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</row>
    <row r="290" spans="1:53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</row>
    <row r="291" spans="1:53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</row>
    <row r="292" spans="1:53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</row>
    <row r="293" spans="1:53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</row>
    <row r="294" spans="1:53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</row>
    <row r="295" spans="1:53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</row>
    <row r="296" spans="1:53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</row>
    <row r="297" spans="1:53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</row>
    <row r="298" spans="1:53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</row>
    <row r="299" spans="1:53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</row>
    <row r="300" spans="1:53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</row>
    <row r="301" spans="1:53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</row>
    <row r="302" spans="1:53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</row>
    <row r="303" spans="1:53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</row>
    <row r="304" spans="1:53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</row>
    <row r="305" spans="1:53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</row>
    <row r="306" spans="1:53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</row>
    <row r="307" spans="1:53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</row>
    <row r="308" spans="1:53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</row>
    <row r="309" spans="1:53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</row>
    <row r="310" spans="1:53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</row>
    <row r="311" spans="1:53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</row>
    <row r="312" spans="1:53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</row>
    <row r="313" spans="1:53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</row>
    <row r="314" spans="1:53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</row>
    <row r="315" spans="1:53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</row>
    <row r="316" spans="1:53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</row>
    <row r="317" spans="1:53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</row>
    <row r="318" spans="1:53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</row>
    <row r="319" spans="1:53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</row>
    <row r="320" spans="1:53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</row>
    <row r="321" spans="1:53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</row>
    <row r="322" spans="1:53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</row>
    <row r="323" spans="1:53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</row>
    <row r="324" spans="1:53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</row>
    <row r="325" spans="1:53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</row>
    <row r="326" spans="1:53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</row>
    <row r="327" spans="1:53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</row>
    <row r="328" spans="1:53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</row>
    <row r="329" spans="1:53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</row>
    <row r="330" spans="1:53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</row>
    <row r="331" spans="1:53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</row>
    <row r="332" spans="1:53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</row>
    <row r="333" spans="1:53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</row>
    <row r="334" spans="1:53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</row>
    <row r="335" spans="1:53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</row>
    <row r="336" spans="1:53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</row>
    <row r="337" spans="1:53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</row>
    <row r="338" spans="1:53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</row>
    <row r="339" spans="1:53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</row>
    <row r="340" spans="1:53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</row>
    <row r="341" spans="1:53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</row>
    <row r="342" spans="1:53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</row>
    <row r="343" spans="1:53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</row>
    <row r="344" spans="1:53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</row>
    <row r="345" spans="1:53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</row>
    <row r="346" spans="1:53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</row>
    <row r="347" spans="1:53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</row>
    <row r="348" spans="1:53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</row>
    <row r="349" spans="1:53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</row>
    <row r="350" spans="1:53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</row>
    <row r="351" spans="1:53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</row>
    <row r="352" spans="1:53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</row>
    <row r="353" spans="1:53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</row>
    <row r="354" spans="1:53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</row>
    <row r="355" spans="1:53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</row>
    <row r="356" spans="1:53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</row>
    <row r="357" spans="1:53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</row>
    <row r="358" spans="1:53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</row>
    <row r="359" spans="1:53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</row>
    <row r="360" spans="1:53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</row>
    <row r="361" spans="1:53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</row>
    <row r="362" spans="1:53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</row>
    <row r="363" spans="1:53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</row>
    <row r="364" spans="1:53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</row>
    <row r="365" spans="1:53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</row>
    <row r="366" spans="1:53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</row>
    <row r="367" spans="1:53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</row>
    <row r="368" spans="1:53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</row>
    <row r="369" spans="1:53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</row>
    <row r="370" spans="1:53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</row>
    <row r="371" spans="1:53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</row>
    <row r="372" spans="1:53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</row>
    <row r="373" spans="1:53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</row>
    <row r="374" spans="1:53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</row>
    <row r="375" spans="1:53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</row>
    <row r="376" spans="1:53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</row>
    <row r="377" spans="1:53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</row>
    <row r="378" spans="1:53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</row>
    <row r="379" spans="1:53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</row>
    <row r="380" spans="1:53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</row>
    <row r="381" spans="1:53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</row>
    <row r="382" spans="1:53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</row>
    <row r="383" spans="1:53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</row>
    <row r="384" spans="1:53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</row>
    <row r="385" spans="1:53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</row>
    <row r="386" spans="1:53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</row>
    <row r="387" spans="1:53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</row>
    <row r="388" spans="1:53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</row>
    <row r="389" spans="1:53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</row>
    <row r="390" spans="1:53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</row>
    <row r="391" spans="1:53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</row>
    <row r="392" spans="1:53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</row>
    <row r="393" spans="1:53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</row>
    <row r="394" spans="1:53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</row>
    <row r="395" spans="1:53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</row>
    <row r="396" spans="1:53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</row>
    <row r="397" spans="1:53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</row>
    <row r="398" spans="1:53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</row>
    <row r="399" spans="1:53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</row>
    <row r="400" spans="1:53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</row>
    <row r="401" spans="1:53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</row>
    <row r="402" spans="1:53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</row>
    <row r="403" spans="1:53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</row>
    <row r="404" spans="1:53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</row>
    <row r="405" spans="1:53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</row>
    <row r="406" spans="1:53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</row>
    <row r="407" spans="1:53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</row>
    <row r="408" spans="1:53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</row>
    <row r="409" spans="1:53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</row>
    <row r="410" spans="1:53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</row>
    <row r="411" spans="1:53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</row>
    <row r="412" spans="1:53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</row>
    <row r="413" spans="1:53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</row>
    <row r="414" spans="1:53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</row>
    <row r="415" spans="1:53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</row>
    <row r="416" spans="1:53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</row>
    <row r="417" spans="1:53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</row>
    <row r="418" spans="1:53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</row>
    <row r="419" spans="1:53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</row>
    <row r="420" spans="1:53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</row>
    <row r="421" spans="1:53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</row>
    <row r="422" spans="1:53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</row>
    <row r="423" spans="1:53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</row>
    <row r="424" spans="1:53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</row>
    <row r="425" spans="1:53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</row>
    <row r="426" spans="1:53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</row>
    <row r="427" spans="1:53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</row>
    <row r="428" spans="1:53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</row>
    <row r="429" spans="1:53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</row>
    <row r="430" spans="1:53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</row>
    <row r="431" spans="1:53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</row>
    <row r="432" spans="1:53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</row>
    <row r="433" spans="1:53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</row>
    <row r="434" spans="1:53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</row>
    <row r="435" spans="1:53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</row>
    <row r="436" spans="1:53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</row>
    <row r="437" spans="1:53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</row>
    <row r="438" spans="1:53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</row>
    <row r="439" spans="1:53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</row>
    <row r="440" spans="1:53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</row>
    <row r="441" spans="1:53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</row>
    <row r="442" spans="1:53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</row>
    <row r="443" spans="1:53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</row>
    <row r="444" spans="1:53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</row>
    <row r="445" spans="1:53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</row>
    <row r="446" spans="1:53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</row>
    <row r="447" spans="1:53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</row>
    <row r="448" spans="1:53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</row>
    <row r="449" spans="1:53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</row>
    <row r="450" spans="1:53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</row>
    <row r="451" spans="1:53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</row>
    <row r="452" spans="1:53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</row>
    <row r="453" spans="1:53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</row>
    <row r="454" spans="1:53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</row>
    <row r="455" spans="1:53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</row>
    <row r="456" spans="1:53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</row>
    <row r="457" spans="1:53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</row>
    <row r="458" spans="1:53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</row>
    <row r="459" spans="1:53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</row>
    <row r="460" spans="1:53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</row>
    <row r="461" spans="1:53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</row>
    <row r="462" spans="1:53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</row>
    <row r="463" spans="1:53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</row>
    <row r="464" spans="1:53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</row>
    <row r="465" spans="1:53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</row>
    <row r="466" spans="1:53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</row>
    <row r="467" spans="1:53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</row>
    <row r="468" spans="1:53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</row>
    <row r="469" spans="1:53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</row>
    <row r="470" spans="1:53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</row>
    <row r="471" spans="1:53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</row>
    <row r="472" spans="1:53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</row>
    <row r="473" spans="1:53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</row>
    <row r="474" spans="1:53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</row>
    <row r="475" spans="1:53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</row>
    <row r="476" spans="1:53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</row>
    <row r="477" spans="1:53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</row>
    <row r="478" spans="1:53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</row>
    <row r="479" spans="1:53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</row>
    <row r="480" spans="1:53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</row>
    <row r="481" spans="1:53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</row>
    <row r="482" spans="1:53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</row>
    <row r="483" spans="1:53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</row>
    <row r="484" spans="1:53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</row>
    <row r="485" spans="1:53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</row>
    <row r="486" spans="1:53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</row>
    <row r="487" spans="1:53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</row>
    <row r="488" spans="1:53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</row>
    <row r="489" spans="1:53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</row>
    <row r="490" spans="1:53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</row>
    <row r="491" spans="1:53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</row>
    <row r="492" spans="1:53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</row>
    <row r="493" spans="1:53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</row>
    <row r="494" spans="1:53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</row>
    <row r="495" spans="1:53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</row>
    <row r="496" spans="1:53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</row>
    <row r="497" spans="1:53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</row>
    <row r="498" spans="1:53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</row>
    <row r="499" spans="1:53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</row>
    <row r="500" spans="1:53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</row>
    <row r="501" spans="1:53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</row>
    <row r="502" spans="1:53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</row>
    <row r="503" spans="1:53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</row>
    <row r="504" spans="1:53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</row>
    <row r="505" spans="1:53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</row>
    <row r="506" spans="1:53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</row>
    <row r="507" spans="1:53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</row>
    <row r="508" spans="1:53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</row>
    <row r="509" spans="1:53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</row>
    <row r="510" spans="1:53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</row>
    <row r="511" spans="1:53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</row>
    <row r="512" spans="1:53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</row>
    <row r="513" spans="1:53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</row>
    <row r="514" spans="1:53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</row>
    <row r="515" spans="1:53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</row>
    <row r="516" spans="1:53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</row>
    <row r="517" spans="1:53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</row>
    <row r="518" spans="1:53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</row>
    <row r="519" spans="1:53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</row>
    <row r="520" spans="1:53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</row>
    <row r="521" spans="1:53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</row>
    <row r="522" spans="1:53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</row>
    <row r="523" spans="1:53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</row>
    <row r="524" spans="1:53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</row>
    <row r="525" spans="1:53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</row>
    <row r="526" spans="1:53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</row>
    <row r="527" spans="1:53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</row>
    <row r="528" spans="1:53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</row>
    <row r="529" spans="1:53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</row>
    <row r="530" spans="1:53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</row>
    <row r="531" spans="1:53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</row>
    <row r="532" spans="1:53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</row>
    <row r="533" spans="1:53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</row>
    <row r="534" spans="1:53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</row>
    <row r="535" spans="1:53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</row>
    <row r="536" spans="1:53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</row>
    <row r="537" spans="1:53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</row>
    <row r="538" spans="1:53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</row>
    <row r="539" spans="1:53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</row>
    <row r="540" spans="1:53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</row>
    <row r="541" spans="1:53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</row>
    <row r="542" spans="1:53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</row>
    <row r="543" spans="1:53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</row>
    <row r="544" spans="1:53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</row>
    <row r="545" spans="1:53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</row>
    <row r="546" spans="1:53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</row>
    <row r="547" spans="1:53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</row>
    <row r="548" spans="1:53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</row>
    <row r="549" spans="1:53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</row>
    <row r="550" spans="1:53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</row>
    <row r="551" spans="1:53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</row>
    <row r="552" spans="1:53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</row>
    <row r="553" spans="1:53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</row>
    <row r="554" spans="1:53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</row>
    <row r="555" spans="1:53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</row>
    <row r="556" spans="1:53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</row>
    <row r="557" spans="1:53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</row>
    <row r="558" spans="1:53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</row>
    <row r="559" spans="1:53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</row>
    <row r="560" spans="1:53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</row>
    <row r="561" spans="1:53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</row>
    <row r="562" spans="1:53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</row>
    <row r="563" spans="1:53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</row>
    <row r="564" spans="1:53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</row>
    <row r="565" spans="1:53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</row>
    <row r="566" spans="1:53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</row>
    <row r="567" spans="1:53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</row>
    <row r="568" spans="1:53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</row>
    <row r="569" spans="1:53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</row>
    <row r="570" spans="1:53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</row>
    <row r="571" spans="1:53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</row>
    <row r="572" spans="1:53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</row>
    <row r="573" spans="1:53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</row>
    <row r="574" spans="1:53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</row>
    <row r="575" spans="1:53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</row>
    <row r="576" spans="1:53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</row>
    <row r="577" spans="1:53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</row>
    <row r="578" spans="1:53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</row>
    <row r="579" spans="1:53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</row>
    <row r="580" spans="1:53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</row>
    <row r="581" spans="1:53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</row>
    <row r="582" spans="1:53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</row>
    <row r="583" spans="1:53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</row>
    <row r="584" spans="1:53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</row>
    <row r="585" spans="1:53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</row>
    <row r="586" spans="1:53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</row>
    <row r="587" spans="1:53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</row>
    <row r="588" spans="1:53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</row>
    <row r="589" spans="1:53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</row>
    <row r="590" spans="1:53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</row>
    <row r="591" spans="1:53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</row>
    <row r="592" spans="1:53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</row>
    <row r="593" spans="1:53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</row>
    <row r="594" spans="1:53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</row>
    <row r="595" spans="1:53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</row>
    <row r="596" spans="1:53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</row>
    <row r="597" spans="1:53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</row>
    <row r="598" spans="1:53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</row>
    <row r="599" spans="1:53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</row>
    <row r="600" spans="1:53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</row>
    <row r="601" spans="1:53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</row>
    <row r="602" spans="1:53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</row>
    <row r="603" spans="1:53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</row>
    <row r="604" spans="1:53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</row>
    <row r="605" spans="1:53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</row>
    <row r="606" spans="1:53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</row>
    <row r="607" spans="1:53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</row>
    <row r="608" spans="1:53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</row>
    <row r="609" spans="1:53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</row>
    <row r="610" spans="1:53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</row>
    <row r="611" spans="1:53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</row>
    <row r="612" spans="1:53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</row>
    <row r="613" spans="1:53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</row>
    <row r="614" spans="1:53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</row>
    <row r="615" spans="1:53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</row>
    <row r="616" spans="1:53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</row>
    <row r="617" spans="1:53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</row>
    <row r="618" spans="1:53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</row>
    <row r="619" spans="1:53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</row>
    <row r="620" spans="1:53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</row>
    <row r="621" spans="1:53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</row>
    <row r="622" spans="1:53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</row>
    <row r="623" spans="1:53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</row>
    <row r="624" spans="1:53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</row>
    <row r="625" spans="1:53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</row>
    <row r="626" spans="1:53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</row>
    <row r="627" spans="1:53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</row>
    <row r="628" spans="1:53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</row>
    <row r="629" spans="1:53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</row>
    <row r="630" spans="1:53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</row>
    <row r="631" spans="1:53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</row>
    <row r="632" spans="1:53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</row>
    <row r="633" spans="1:53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</row>
    <row r="634" spans="1:53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</row>
    <row r="635" spans="1:53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</row>
    <row r="636" spans="1:53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</row>
    <row r="637" spans="1:53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</row>
    <row r="638" spans="1:53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</row>
    <row r="639" spans="1:53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</row>
    <row r="640" spans="1:53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</row>
    <row r="641" spans="1:53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</row>
    <row r="642" spans="1:53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</row>
    <row r="643" spans="1:53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</row>
    <row r="644" spans="1:53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</row>
    <row r="645" spans="1:53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</row>
    <row r="646" spans="1:53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</row>
    <row r="647" spans="1:53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</row>
    <row r="648" spans="1:53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</row>
    <row r="649" spans="1:53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</row>
    <row r="650" spans="1:53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</row>
    <row r="651" spans="1:53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</row>
    <row r="652" spans="1:53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</row>
    <row r="653" spans="1:53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</row>
    <row r="654" spans="1:53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</row>
    <row r="655" spans="1:53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</row>
    <row r="656" spans="1:53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</row>
    <row r="657" spans="1:53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</row>
    <row r="658" spans="1:53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</row>
    <row r="659" spans="1:53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</row>
    <row r="660" spans="1:53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</row>
    <row r="661" spans="1:53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</row>
    <row r="662" spans="1:53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</row>
    <row r="663" spans="1:53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</row>
    <row r="664" spans="1:53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</row>
    <row r="665" spans="1:53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</row>
    <row r="666" spans="1:53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</row>
    <row r="667" spans="1:53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</row>
    <row r="668" spans="1:53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</row>
    <row r="669" spans="1:53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</row>
    <row r="670" spans="1:53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</row>
    <row r="671" spans="1:53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</row>
    <row r="672" spans="1:53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</row>
    <row r="673" spans="1:53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</row>
    <row r="674" spans="1:53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</row>
    <row r="675" spans="1:53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</row>
    <row r="676" spans="1:53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</row>
    <row r="677" spans="1:53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</row>
    <row r="678" spans="1:53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</row>
    <row r="679" spans="1:53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</row>
    <row r="680" spans="1:53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</row>
    <row r="681" spans="1:53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</row>
    <row r="682" spans="1:53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</row>
    <row r="683" spans="1:53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</row>
    <row r="684" spans="1:53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</row>
    <row r="685" spans="1:53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</row>
    <row r="686" spans="1:53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</row>
    <row r="687" spans="1:53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</row>
    <row r="688" spans="1:53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</row>
    <row r="689" spans="1:53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</row>
    <row r="690" spans="1:53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</row>
    <row r="691" spans="1:53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</row>
    <row r="692" spans="1:53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</row>
    <row r="693" spans="1:53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</row>
    <row r="694" spans="1:53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</row>
    <row r="695" spans="1:53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</row>
    <row r="696" spans="1:53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</row>
    <row r="697" spans="1:53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</row>
    <row r="698" spans="1:53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</row>
    <row r="699" spans="1:53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</row>
    <row r="700" spans="1:53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</row>
    <row r="701" spans="1:53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</row>
    <row r="702" spans="1:53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</row>
    <row r="703" spans="1:53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</row>
    <row r="704" spans="1:53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</row>
    <row r="705" spans="1:53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</row>
    <row r="706" spans="1:53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</row>
    <row r="707" spans="1:53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</row>
    <row r="708" spans="1:53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</row>
    <row r="709" spans="1:53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</row>
    <row r="710" spans="1:53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</row>
    <row r="711" spans="1:53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</row>
    <row r="712" spans="1:53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</row>
    <row r="713" spans="1:53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</row>
    <row r="714" spans="1:53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</row>
    <row r="715" spans="1:53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</row>
    <row r="716" spans="1:53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</row>
    <row r="717" spans="1:53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</row>
    <row r="718" spans="1:53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</row>
    <row r="719" spans="1:53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</row>
    <row r="720" spans="1:53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</row>
    <row r="721" spans="1:53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</row>
    <row r="722" spans="1:53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</row>
    <row r="723" spans="1:53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</row>
    <row r="724" spans="1:53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</row>
    <row r="725" spans="1:53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</row>
    <row r="726" spans="1:53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</row>
    <row r="727" spans="1:53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</row>
    <row r="728" spans="1:53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</row>
    <row r="729" spans="1:53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</row>
    <row r="730" spans="1:53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</row>
    <row r="731" spans="1:53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</row>
    <row r="732" spans="1:53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</row>
    <row r="733" spans="1:53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</row>
    <row r="734" spans="1:53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</row>
    <row r="735" spans="1:53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</row>
    <row r="736" spans="1:53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</row>
    <row r="737" spans="1:53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</row>
    <row r="738" spans="1:53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</row>
    <row r="739" spans="1:53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</row>
    <row r="740" spans="1:53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</row>
    <row r="741" spans="1:53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</row>
    <row r="742" spans="1:53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</row>
    <row r="743" spans="1:53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</row>
    <row r="744" spans="1:53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</row>
    <row r="745" spans="1:53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</row>
    <row r="746" spans="1:53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</row>
    <row r="747" spans="1:53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</row>
    <row r="748" spans="1:53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</row>
    <row r="749" spans="1:53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</row>
    <row r="750" spans="1:53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</row>
    <row r="751" spans="1:53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</row>
    <row r="752" spans="1:53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</row>
    <row r="753" spans="1:53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</row>
    <row r="754" spans="1:53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</row>
    <row r="755" spans="1:53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</row>
    <row r="756" spans="1:53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</row>
    <row r="757" spans="1:53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</row>
    <row r="758" spans="1:53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</row>
    <row r="759" spans="1:53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</row>
    <row r="760" spans="1:53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</row>
    <row r="761" spans="1:53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</row>
    <row r="762" spans="1:53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</row>
    <row r="763" spans="1:53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</row>
    <row r="764" spans="1:53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</row>
    <row r="765" spans="1:53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</row>
    <row r="766" spans="1:53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</row>
    <row r="767" spans="1:53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</row>
    <row r="768" spans="1:53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</row>
    <row r="769" spans="1:53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</row>
    <row r="770" spans="1:53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</row>
    <row r="771" spans="1:53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</row>
    <row r="772" spans="1:53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</row>
    <row r="773" spans="1:53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</row>
    <row r="774" spans="1:53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</row>
    <row r="775" spans="1:53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</row>
    <row r="776" spans="1:53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</row>
    <row r="777" spans="1:53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</row>
    <row r="778" spans="1:53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</row>
    <row r="779" spans="1:53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</row>
    <row r="780" spans="1:53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</row>
    <row r="781" spans="1:53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</row>
    <row r="782" spans="1:53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</row>
    <row r="783" spans="1:53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</row>
    <row r="784" spans="1:53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</row>
    <row r="785" spans="1:53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</row>
    <row r="786" spans="1:53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</row>
    <row r="787" spans="1:53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</row>
    <row r="788" spans="1:53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</row>
    <row r="789" spans="1:53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</row>
    <row r="790" spans="1:53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</row>
    <row r="791" spans="1:53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</row>
    <row r="792" spans="1:53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</row>
    <row r="793" spans="1:53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</row>
    <row r="794" spans="1:53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</row>
    <row r="795" spans="1:53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</row>
    <row r="796" spans="1:53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</row>
    <row r="797" spans="1:53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</row>
    <row r="798" spans="1:53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</row>
    <row r="799" spans="1:53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</row>
    <row r="800" spans="1:53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</row>
    <row r="801" spans="1:53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</row>
    <row r="802" spans="1:53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</row>
    <row r="803" spans="1:53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</row>
    <row r="804" spans="1:53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</row>
    <row r="805" spans="1:53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</row>
    <row r="806" spans="1:53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</row>
    <row r="807" spans="1:53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</row>
    <row r="808" spans="1:53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</row>
    <row r="809" spans="1:53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</row>
    <row r="810" spans="1:53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</row>
    <row r="811" spans="1:53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</row>
    <row r="812" spans="1:53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</row>
    <row r="813" spans="1:53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</row>
    <row r="814" spans="1:53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</row>
    <row r="815" spans="1:53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</row>
    <row r="816" spans="1:53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</row>
    <row r="817" spans="1:53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</row>
    <row r="818" spans="1:53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</row>
    <row r="819" spans="1:53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</row>
    <row r="820" spans="1:53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</row>
    <row r="821" spans="1:53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</row>
    <row r="822" spans="1:53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</row>
    <row r="823" spans="1:53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</row>
    <row r="824" spans="1:53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</row>
    <row r="825" spans="1:53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</row>
    <row r="826" spans="1:53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</row>
    <row r="827" spans="1:53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</row>
    <row r="828" spans="1:53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</row>
    <row r="829" spans="1:53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</row>
    <row r="830" spans="1:53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</row>
    <row r="831" spans="1:53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</row>
    <row r="832" spans="1:53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</row>
    <row r="833" spans="1:53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</row>
    <row r="834" spans="1:53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</row>
    <row r="835" spans="1:53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</row>
    <row r="836" spans="1:53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</row>
    <row r="837" spans="1:53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</row>
    <row r="838" spans="1:53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</row>
    <row r="839" spans="1:53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</row>
    <row r="840" spans="1:53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</row>
    <row r="841" spans="1:53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</row>
    <row r="842" spans="1:53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</row>
    <row r="843" spans="1:53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</row>
    <row r="844" spans="1:53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</row>
    <row r="845" spans="1:53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</row>
    <row r="846" spans="1:53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</row>
    <row r="847" spans="1:53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</row>
    <row r="848" spans="1:53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</row>
    <row r="849" spans="1:53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</row>
    <row r="850" spans="1:53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</row>
    <row r="851" spans="1:53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</row>
    <row r="852" spans="1:53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</row>
    <row r="853" spans="1:53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</row>
    <row r="854" spans="1:53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</row>
    <row r="855" spans="1:53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</row>
    <row r="856" spans="1:53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</row>
    <row r="857" spans="1:53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</row>
    <row r="858" spans="1:53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</row>
    <row r="859" spans="1:53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</row>
    <row r="860" spans="1:53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</row>
    <row r="861" spans="1:53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</row>
    <row r="862" spans="1:53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</row>
    <row r="863" spans="1:53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</row>
    <row r="864" spans="1:53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</row>
    <row r="865" spans="1:53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</row>
    <row r="866" spans="1:53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</row>
    <row r="867" spans="1:53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</row>
    <row r="868" spans="1:53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</row>
    <row r="869" spans="1:53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</row>
    <row r="870" spans="1:53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</row>
    <row r="871" spans="1:53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</row>
    <row r="872" spans="1:53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</row>
    <row r="873" spans="1:53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</row>
    <row r="874" spans="1:53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</row>
    <row r="875" spans="1:53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</row>
    <row r="876" spans="1:53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</row>
    <row r="877" spans="1:53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</row>
    <row r="878" spans="1:53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</row>
    <row r="879" spans="1:53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</row>
    <row r="880" spans="1:53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</row>
    <row r="881" spans="1:53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</row>
    <row r="882" spans="1:53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</row>
    <row r="883" spans="1:53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</row>
    <row r="884" spans="1:53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</row>
    <row r="885" spans="1:53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</row>
    <row r="886" spans="1:53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</row>
    <row r="887" spans="1:53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</row>
    <row r="888" spans="1:53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</row>
    <row r="889" spans="1:53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</row>
    <row r="890" spans="1:53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</row>
    <row r="891" spans="1:53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</row>
    <row r="892" spans="1:53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</row>
    <row r="893" spans="1:53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</row>
    <row r="894" spans="1:53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</row>
    <row r="895" spans="1:53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</row>
    <row r="896" spans="1:53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</row>
    <row r="897" spans="1:53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</row>
    <row r="898" spans="1:53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</row>
    <row r="899" spans="1:53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</row>
    <row r="900" spans="1:53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</row>
    <row r="901" spans="1:53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</row>
    <row r="902" spans="1:53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</row>
    <row r="903" spans="1:53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</row>
    <row r="904" spans="1:53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</row>
    <row r="905" spans="1:53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</row>
    <row r="906" spans="1:53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</row>
    <row r="907" spans="1:53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</row>
    <row r="908" spans="1:53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</row>
    <row r="909" spans="1:53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</row>
    <row r="910" spans="1:53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</row>
    <row r="911" spans="1:53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</row>
    <row r="912" spans="1:53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</row>
    <row r="913" spans="1:53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</row>
    <row r="914" spans="1:53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</row>
    <row r="915" spans="1:53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</row>
    <row r="916" spans="1:53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</row>
    <row r="917" spans="1:53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</row>
    <row r="918" spans="1:53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</row>
    <row r="919" spans="1:53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</row>
    <row r="920" spans="1:53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</row>
    <row r="921" spans="1:53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</row>
    <row r="922" spans="1:53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</row>
    <row r="923" spans="1:53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</row>
    <row r="924" spans="1:53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</row>
    <row r="925" spans="1:53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</row>
    <row r="926" spans="1:53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</row>
    <row r="927" spans="1:53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</row>
    <row r="928" spans="1:53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</row>
    <row r="929" spans="1:53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</row>
    <row r="930" spans="1:53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</row>
    <row r="931" spans="1:53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</row>
    <row r="932" spans="1:53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</row>
    <row r="933" spans="1:53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</row>
    <row r="934" spans="1:53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</row>
    <row r="935" spans="1:53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</row>
    <row r="936" spans="1:53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</row>
    <row r="937" spans="1:53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</row>
    <row r="938" spans="1:53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</row>
    <row r="939" spans="1:53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</row>
    <row r="940" spans="1:53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</row>
    <row r="941" spans="1:53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</row>
    <row r="942" spans="1:53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</row>
    <row r="943" spans="1:53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</row>
    <row r="944" spans="1:53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</row>
    <row r="945" spans="1:53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</row>
    <row r="946" spans="1:53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</row>
    <row r="947" spans="1:53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</row>
    <row r="948" spans="1:53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</row>
    <row r="949" spans="1:53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</row>
    <row r="950" spans="1:53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</row>
    <row r="951" spans="1:53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</row>
    <row r="952" spans="1:53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</row>
    <row r="953" spans="1:53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</row>
    <row r="954" spans="1:53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</row>
    <row r="955" spans="1:53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</row>
    <row r="956" spans="1:53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</row>
    <row r="957" spans="1:53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</row>
    <row r="958" spans="1:53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</row>
    <row r="959" spans="1:53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</row>
    <row r="960" spans="1:53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</row>
    <row r="961" spans="1:53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</row>
    <row r="962" spans="1:53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</row>
    <row r="963" spans="1:53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</row>
    <row r="964" spans="1:53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</row>
    <row r="965" spans="1:53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</row>
    <row r="966" spans="1:53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</row>
    <row r="967" spans="1:53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</row>
    <row r="968" spans="1:53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</row>
    <row r="969" spans="1:53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</row>
    <row r="970" spans="1:53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</row>
    <row r="971" spans="1:53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</row>
    <row r="972" spans="1:53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</row>
    <row r="973" spans="1:53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</row>
    <row r="974" spans="1:53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</row>
    <row r="975" spans="1:53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</row>
    <row r="976" spans="1:53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</row>
    <row r="977" spans="1:53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</row>
    <row r="978" spans="1:53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</row>
    <row r="979" spans="1:53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</row>
    <row r="980" spans="1:53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</row>
    <row r="981" spans="1:53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</row>
    <row r="982" spans="1:53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</row>
    <row r="983" spans="1:53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</row>
    <row r="984" spans="1:53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</row>
    <row r="985" spans="1:53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</row>
    <row r="986" spans="1:53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</row>
    <row r="987" spans="1:53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</row>
    <row r="988" spans="1:53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</row>
    <row r="989" spans="1:53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</row>
    <row r="990" spans="1:53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</row>
    <row r="991" spans="1:53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</row>
    <row r="992" spans="1:53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</row>
    <row r="993" spans="1:53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</row>
    <row r="994" spans="1:53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</row>
    <row r="995" spans="1:53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</row>
    <row r="996" spans="1:53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</row>
    <row r="997" spans="1:53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</row>
    <row r="998" spans="1:53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</row>
    <row r="999" spans="1:53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</row>
  </sheetData>
  <sheetProtection algorithmName="SHA-512" hashValue="GoQWgKiAFgYC0E3MDafgrh9aphWi38d+vXs0q9O6vEvI6fe9Gdi4haBjoWTI946lkcJ99EzcCAFA+pG/7xKzuw==" saltValue="YfWG0JVDX+VJ2J9YCRcU3w==" spinCount="100000" sheet="1" objects="1" scenarios="1" formatCells="0" sort="0"/>
  <sortState xmlns:xlrd2="http://schemas.microsoft.com/office/spreadsheetml/2017/richdata2" ref="A9:K15">
    <sortCondition ref="A9"/>
  </sortState>
  <mergeCells count="9">
    <mergeCell ref="C6:F6"/>
    <mergeCell ref="E5:F5"/>
    <mergeCell ref="H7:I7"/>
    <mergeCell ref="B2:E2"/>
    <mergeCell ref="B1:E1"/>
    <mergeCell ref="G3:I3"/>
    <mergeCell ref="G2:H2"/>
    <mergeCell ref="B3:E3"/>
    <mergeCell ref="B4:E4"/>
  </mergeCells>
  <conditionalFormatting sqref="P9:P37">
    <cfRule type="expression" dxfId="10" priority="2" stopIfTrue="1">
      <formula>B9&lt;&gt;B8</formula>
    </cfRule>
  </conditionalFormatting>
  <conditionalFormatting sqref="P38:P45">
    <cfRule type="expression" dxfId="9" priority="3" stopIfTrue="1">
      <formula>B38&lt;&gt;B34</formula>
    </cfRule>
  </conditionalFormatting>
  <conditionalFormatting sqref="W9:W45">
    <cfRule type="expression" dxfId="8" priority="4" stopIfTrue="1">
      <formula>B9&lt;&gt;B8</formula>
    </cfRule>
  </conditionalFormatting>
  <conditionalFormatting sqref="S9:S45">
    <cfRule type="expression" dxfId="7" priority="5" stopIfTrue="1">
      <formula>B9&lt;&gt;B8</formula>
    </cfRule>
  </conditionalFormatting>
  <conditionalFormatting sqref="R9:R45">
    <cfRule type="expression" dxfId="6" priority="6" stopIfTrue="1">
      <formula>B9&lt;&gt;B8</formula>
    </cfRule>
  </conditionalFormatting>
  <conditionalFormatting sqref="O9:O37">
    <cfRule type="expression" dxfId="5" priority="7" stopIfTrue="1">
      <formula>B9&lt;&gt;B8</formula>
    </cfRule>
  </conditionalFormatting>
  <conditionalFormatting sqref="O38:O45">
    <cfRule type="expression" dxfId="4" priority="8" stopIfTrue="1">
      <formula>B38&lt;&gt;B34</formula>
    </cfRule>
  </conditionalFormatting>
  <conditionalFormatting sqref="A15:A45">
    <cfRule type="expression" dxfId="3" priority="9" stopIfTrue="1">
      <formula>AC15=1</formula>
    </cfRule>
  </conditionalFormatting>
  <conditionalFormatting sqref="B9:B44">
    <cfRule type="expression" dxfId="2" priority="10" stopIfTrue="1">
      <formula>AC9=1</formula>
    </cfRule>
  </conditionalFormatting>
  <conditionalFormatting sqref="B45">
    <cfRule type="expression" dxfId="1" priority="11" stopIfTrue="1">
      <formula>$AC$45=1</formula>
    </cfRule>
  </conditionalFormatting>
  <conditionalFormatting sqref="A9:A14">
    <cfRule type="expression" dxfId="0" priority="1" stopIfTrue="1">
      <formula>AB9=1</formula>
    </cfRule>
  </conditionalFormatting>
  <dataValidations count="13">
    <dataValidation type="list" allowBlank="1" showErrorMessage="1" sqref="L2:L5" xr:uid="{00000000-0002-0000-0000-000000000000}">
      <formula1>$AF$54:$AF$57</formula1>
    </dataValidation>
    <dataValidation type="list" allowBlank="1" showErrorMessage="1" sqref="F9:F45" xr:uid="{00000000-0002-0000-0000-000001000000}">
      <formula1>$AA$54:$AA$58</formula1>
    </dataValidation>
    <dataValidation type="list" allowBlank="1" showErrorMessage="1" sqref="K9:K45" xr:uid="{00000000-0002-0000-0000-000002000000}">
      <formula1>$AE$54:$AE$61</formula1>
    </dataValidation>
    <dataValidation type="list" allowBlank="1" showErrorMessage="1" sqref="G9:G45" xr:uid="{00000000-0002-0000-0000-000003000000}">
      <formula1>$AB$54:$AB$71</formula1>
    </dataValidation>
    <dataValidation type="list" allowBlank="1" showErrorMessage="1" sqref="D9:D45" xr:uid="{00000000-0002-0000-0000-000004000000}">
      <formula1>$X$54:$X$75</formula1>
    </dataValidation>
    <dataValidation type="list" allowBlank="1" showErrorMessage="1" sqref="G2" xr:uid="{00000000-0002-0000-0000-000005000000}">
      <formula1>$AI$54:$AI$60</formula1>
    </dataValidation>
    <dataValidation type="list" allowBlank="1" showErrorMessage="1" sqref="E9:E45" xr:uid="{00000000-0002-0000-0000-000006000000}">
      <formula1>$Y$54:$Y$58</formula1>
    </dataValidation>
    <dataValidation type="list" allowBlank="1" showErrorMessage="1" sqref="K3:K5" xr:uid="{00000000-0002-0000-0000-000007000000}">
      <formula1>$AG$54:$AG$56</formula1>
    </dataValidation>
    <dataValidation type="list" allowBlank="1" showErrorMessage="1" sqref="C7:F7" xr:uid="{00000000-0002-0000-0000-000008000000}">
      <formula1>$AH$54:$AH$61</formula1>
    </dataValidation>
    <dataValidation type="list" allowBlank="1" showErrorMessage="1" sqref="H7" xr:uid="{00000000-0002-0000-0000-000009000000}">
      <formula1>$AB$6:$AB$7</formula1>
    </dataValidation>
    <dataValidation type="list" allowBlank="1" showErrorMessage="1" sqref="I9:I45" xr:uid="{00000000-0002-0000-0000-00000A000000}">
      <formula1>$AD$54:$AD$60</formula1>
    </dataValidation>
    <dataValidation type="list" allowBlank="1" showErrorMessage="1" sqref="G6" xr:uid="{00000000-0002-0000-0000-00000B000000}">
      <formula1>$AJ$54:$AJ$56</formula1>
    </dataValidation>
    <dataValidation type="list" allowBlank="1" showErrorMessage="1" sqref="H9:H45" xr:uid="{00000000-0002-0000-0000-00000C000000}">
      <formula1>$AC$54:$AC$68</formula1>
    </dataValidation>
  </dataValidations>
  <pageMargins left="0.7" right="0.7" top="0.75" bottom="0.75" header="0.3" footer="0.3"/>
  <pageSetup paperSize="9" orientation="portrait" horizontalDpi="4294967293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opLeftCell="A22" workbookViewId="0">
      <selection activeCell="A61" sqref="A61"/>
    </sheetView>
  </sheetViews>
  <sheetFormatPr defaultColWidth="14.42578125" defaultRowHeight="12.75" x14ac:dyDescent="0.2"/>
  <cols>
    <col min="1" max="26" width="8.7109375" customWidth="1"/>
  </cols>
  <sheetData>
    <row r="1" spans="1:26" ht="12.75" customHeight="1" x14ac:dyDescent="0.2">
      <c r="A1" s="2" t="s">
        <v>0</v>
      </c>
    </row>
    <row r="2" spans="1:26" ht="23.25" customHeight="1" x14ac:dyDescent="0.25">
      <c r="A2" s="4" t="s">
        <v>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39" customHeight="1" x14ac:dyDescent="0.2">
      <c r="A3" s="127" t="s">
        <v>11</v>
      </c>
      <c r="B3" s="128"/>
      <c r="C3" s="128"/>
      <c r="D3" s="128"/>
      <c r="E3" s="128"/>
      <c r="F3" s="128"/>
      <c r="G3" s="128"/>
      <c r="H3" s="129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39" customHeigh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2.75" customHeight="1" x14ac:dyDescent="0.2">
      <c r="A5" s="1" t="s">
        <v>23</v>
      </c>
    </row>
    <row r="6" spans="1:26" ht="12.75" customHeight="1" x14ac:dyDescent="0.2"/>
    <row r="7" spans="1:26" ht="12.75" customHeight="1" x14ac:dyDescent="0.2">
      <c r="A7" s="1" t="s">
        <v>25</v>
      </c>
    </row>
    <row r="8" spans="1:26" ht="12.75" customHeight="1" x14ac:dyDescent="0.2">
      <c r="A8" s="1" t="s">
        <v>26</v>
      </c>
    </row>
    <row r="9" spans="1:26" ht="17.25" customHeight="1" x14ac:dyDescent="0.2">
      <c r="A9" s="1" t="s">
        <v>27</v>
      </c>
    </row>
    <row r="10" spans="1:26" ht="12.75" customHeight="1" x14ac:dyDescent="0.2"/>
    <row r="11" spans="1:26" ht="12.75" customHeight="1" x14ac:dyDescent="0.2">
      <c r="A11" s="2" t="s">
        <v>28</v>
      </c>
      <c r="B11" s="2"/>
    </row>
    <row r="12" spans="1:26" ht="23.25" customHeight="1" x14ac:dyDescent="0.2">
      <c r="A12" s="1" t="s">
        <v>30</v>
      </c>
    </row>
    <row r="13" spans="1:26" ht="16.5" customHeight="1" x14ac:dyDescent="0.2">
      <c r="A13" s="1" t="s">
        <v>31</v>
      </c>
    </row>
    <row r="14" spans="1:26" ht="16.5" customHeight="1" x14ac:dyDescent="0.2">
      <c r="A14" s="1" t="s">
        <v>32</v>
      </c>
    </row>
    <row r="15" spans="1:26" ht="16.5" customHeight="1" x14ac:dyDescent="0.2">
      <c r="A15" s="2" t="s">
        <v>33</v>
      </c>
    </row>
    <row r="16" spans="1:26" ht="28.5" customHeight="1" x14ac:dyDescent="0.2">
      <c r="A16" s="125" t="s">
        <v>35</v>
      </c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</row>
    <row r="17" spans="1:2" ht="24.75" customHeight="1" x14ac:dyDescent="0.2">
      <c r="A17" s="1" t="s">
        <v>38</v>
      </c>
    </row>
    <row r="18" spans="1:2" ht="21.75" customHeight="1" x14ac:dyDescent="0.2">
      <c r="A18" s="1" t="s">
        <v>39</v>
      </c>
    </row>
    <row r="19" spans="1:2" ht="16.5" customHeight="1" x14ac:dyDescent="0.2">
      <c r="A19" s="10"/>
      <c r="B19" s="10"/>
    </row>
    <row r="20" spans="1:2" ht="12.75" customHeight="1" x14ac:dyDescent="0.2"/>
    <row r="21" spans="1:2" ht="12.75" customHeight="1" x14ac:dyDescent="0.2"/>
    <row r="22" spans="1:2" ht="12.75" customHeight="1" x14ac:dyDescent="0.2">
      <c r="A22" s="2" t="s">
        <v>44</v>
      </c>
      <c r="B22" s="1" t="s">
        <v>45</v>
      </c>
    </row>
    <row r="23" spans="1:2" ht="12.75" customHeight="1" x14ac:dyDescent="0.2">
      <c r="B23" s="1" t="s">
        <v>46</v>
      </c>
    </row>
    <row r="24" spans="1:2" ht="12.75" customHeight="1" x14ac:dyDescent="0.2"/>
    <row r="25" spans="1:2" ht="12.75" customHeight="1" x14ac:dyDescent="0.2">
      <c r="A25" s="1" t="s">
        <v>48</v>
      </c>
      <c r="B25" s="1" t="s">
        <v>50</v>
      </c>
    </row>
    <row r="26" spans="1:2" ht="12.75" customHeight="1" x14ac:dyDescent="0.2"/>
    <row r="27" spans="1:2" ht="12.75" customHeight="1" x14ac:dyDescent="0.2">
      <c r="A27" s="1" t="s">
        <v>51</v>
      </c>
      <c r="B27" s="1" t="s">
        <v>52</v>
      </c>
    </row>
    <row r="28" spans="1:2" ht="12.75" customHeight="1" x14ac:dyDescent="0.2"/>
    <row r="29" spans="1:2" ht="12.75" customHeight="1" x14ac:dyDescent="0.2">
      <c r="A29" s="1" t="s">
        <v>53</v>
      </c>
      <c r="B29" s="1" t="s">
        <v>54</v>
      </c>
    </row>
    <row r="30" spans="1:2" ht="12.75" customHeight="1" x14ac:dyDescent="0.2"/>
    <row r="31" spans="1:2" ht="12.75" customHeight="1" x14ac:dyDescent="0.2">
      <c r="A31" s="1" t="s">
        <v>55</v>
      </c>
      <c r="B31" s="1" t="s">
        <v>57</v>
      </c>
    </row>
    <row r="32" spans="1:2" ht="12.75" customHeight="1" x14ac:dyDescent="0.2"/>
    <row r="33" spans="1:2" ht="12.75" customHeight="1" x14ac:dyDescent="0.2">
      <c r="A33" s="1" t="s">
        <v>58</v>
      </c>
      <c r="B33" s="1" t="s">
        <v>59</v>
      </c>
    </row>
    <row r="34" spans="1:2" ht="12.75" customHeight="1" x14ac:dyDescent="0.2">
      <c r="B34" s="1" t="s">
        <v>60</v>
      </c>
    </row>
    <row r="35" spans="1:2" ht="12.75" customHeight="1" x14ac:dyDescent="0.2"/>
    <row r="36" spans="1:2" ht="12.75" customHeight="1" x14ac:dyDescent="0.2">
      <c r="A36" s="1" t="s">
        <v>61</v>
      </c>
      <c r="B36" s="1" t="s">
        <v>62</v>
      </c>
    </row>
    <row r="37" spans="1:2" ht="12.75" customHeight="1" x14ac:dyDescent="0.2">
      <c r="B37" s="1" t="s">
        <v>64</v>
      </c>
    </row>
    <row r="38" spans="1:2" ht="12.75" customHeight="1" x14ac:dyDescent="0.2">
      <c r="A38" s="1" t="s">
        <v>65</v>
      </c>
      <c r="B38" s="1" t="s">
        <v>66</v>
      </c>
    </row>
    <row r="39" spans="1:2" ht="12.75" customHeight="1" x14ac:dyDescent="0.2">
      <c r="B39" s="1" t="s">
        <v>67</v>
      </c>
    </row>
    <row r="40" spans="1:2" ht="16.5" customHeight="1" x14ac:dyDescent="0.2">
      <c r="A40" s="1" t="s">
        <v>68</v>
      </c>
      <c r="B40" s="1" t="s">
        <v>69</v>
      </c>
    </row>
    <row r="41" spans="1:2" ht="12.75" customHeight="1" x14ac:dyDescent="0.2"/>
    <row r="42" spans="1:2" ht="12.75" customHeight="1" x14ac:dyDescent="0.2">
      <c r="A42" s="1" t="s">
        <v>70</v>
      </c>
      <c r="B42" s="1" t="s">
        <v>72</v>
      </c>
    </row>
    <row r="43" spans="1:2" ht="12.75" customHeight="1" x14ac:dyDescent="0.2"/>
    <row r="44" spans="1:2" ht="12.75" customHeight="1" x14ac:dyDescent="0.2">
      <c r="A44" s="1" t="s">
        <v>73</v>
      </c>
      <c r="B44" s="1" t="s">
        <v>74</v>
      </c>
    </row>
    <row r="45" spans="1:2" ht="12.75" customHeight="1" x14ac:dyDescent="0.2"/>
    <row r="46" spans="1:2" ht="12.75" customHeight="1" x14ac:dyDescent="0.2">
      <c r="A46" s="1" t="s">
        <v>75</v>
      </c>
      <c r="B46" s="1" t="s">
        <v>78</v>
      </c>
    </row>
    <row r="47" spans="1:2" ht="12.75" customHeight="1" x14ac:dyDescent="0.2">
      <c r="B47" s="1" t="s">
        <v>80</v>
      </c>
    </row>
    <row r="48" spans="1:2" ht="12.75" customHeight="1" x14ac:dyDescent="0.2">
      <c r="A48" s="1" t="s">
        <v>81</v>
      </c>
      <c r="B48" s="1" t="s">
        <v>82</v>
      </c>
    </row>
    <row r="49" spans="1:2" ht="12.75" customHeight="1" x14ac:dyDescent="0.2"/>
    <row r="50" spans="1:2" ht="12.75" customHeight="1" x14ac:dyDescent="0.2">
      <c r="A50" s="1" t="s">
        <v>83</v>
      </c>
      <c r="B50" s="2" t="s">
        <v>84</v>
      </c>
    </row>
    <row r="51" spans="1:2" ht="12.75" customHeight="1" x14ac:dyDescent="0.2"/>
    <row r="52" spans="1:2" ht="12.75" customHeight="1" x14ac:dyDescent="0.2">
      <c r="A52" s="1">
        <v>3.2</v>
      </c>
      <c r="B52" s="1" t="s">
        <v>86</v>
      </c>
    </row>
    <row r="53" spans="1:2" ht="12.75" customHeight="1" x14ac:dyDescent="0.2">
      <c r="B53" s="1" t="s">
        <v>88</v>
      </c>
    </row>
    <row r="54" spans="1:2" ht="12.75" customHeight="1" x14ac:dyDescent="0.2"/>
    <row r="55" spans="1:2" ht="12.75" customHeight="1" x14ac:dyDescent="0.2">
      <c r="A55" s="1">
        <v>3.3</v>
      </c>
      <c r="B55" s="1" t="s">
        <v>89</v>
      </c>
    </row>
    <row r="56" spans="1:2" ht="12.75" customHeight="1" x14ac:dyDescent="0.2"/>
    <row r="57" spans="1:2" ht="12.75" customHeight="1" x14ac:dyDescent="0.2">
      <c r="A57" s="1">
        <v>3.4</v>
      </c>
      <c r="B57" s="1" t="s">
        <v>90</v>
      </c>
    </row>
    <row r="58" spans="1:2" ht="12.75" customHeight="1" x14ac:dyDescent="0.2"/>
    <row r="59" spans="1:2" ht="12.75" customHeight="1" x14ac:dyDescent="0.2">
      <c r="A59" t="s">
        <v>281</v>
      </c>
      <c r="B59" t="s">
        <v>282</v>
      </c>
    </row>
    <row r="60" spans="1:2" ht="12.75" customHeight="1" x14ac:dyDescent="0.2"/>
    <row r="61" spans="1:2" ht="12.75" customHeight="1" x14ac:dyDescent="0.2"/>
    <row r="62" spans="1:2" ht="12.75" customHeight="1" x14ac:dyDescent="0.2"/>
    <row r="63" spans="1:2" ht="12.75" customHeight="1" x14ac:dyDescent="0.2"/>
    <row r="64" spans="1:2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">
    <mergeCell ref="A16:L16"/>
    <mergeCell ref="A3:H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selection activeCell="AC10" sqref="AC10"/>
    </sheetView>
  </sheetViews>
  <sheetFormatPr defaultColWidth="14.42578125" defaultRowHeight="12.75" x14ac:dyDescent="0.2"/>
  <cols>
    <col min="1" max="1" width="10.42578125" customWidth="1"/>
    <col min="2" max="2" width="20.42578125" hidden="1" customWidth="1"/>
    <col min="3" max="3" width="4.7109375" hidden="1" customWidth="1"/>
    <col min="4" max="4" width="8" hidden="1" customWidth="1"/>
    <col min="5" max="5" width="8.140625" hidden="1" customWidth="1"/>
    <col min="6" max="6" width="4.85546875" hidden="1" customWidth="1"/>
    <col min="7" max="7" width="4.5703125" hidden="1" customWidth="1"/>
    <col min="8" max="8" width="9.5703125" hidden="1" customWidth="1"/>
    <col min="9" max="9" width="4.7109375" hidden="1" customWidth="1"/>
    <col min="10" max="10" width="9.28515625" hidden="1" customWidth="1"/>
    <col min="11" max="11" width="4.7109375" hidden="1" customWidth="1"/>
    <col min="12" max="12" width="4.140625" hidden="1" customWidth="1"/>
    <col min="13" max="13" width="13.140625" hidden="1" customWidth="1"/>
    <col min="14" max="14" width="4.7109375" hidden="1" customWidth="1"/>
    <col min="15" max="15" width="4.140625" hidden="1" customWidth="1"/>
    <col min="16" max="16" width="7.85546875" hidden="1" customWidth="1"/>
    <col min="17" max="17" width="4.7109375" hidden="1" customWidth="1"/>
    <col min="18" max="18" width="4.140625" hidden="1" customWidth="1"/>
    <col min="19" max="19" width="7.85546875" hidden="1" customWidth="1"/>
    <col min="20" max="20" width="5" hidden="1" customWidth="1"/>
    <col min="21" max="21" width="4.28515625" hidden="1" customWidth="1"/>
    <col min="22" max="22" width="4.140625" hidden="1" customWidth="1"/>
    <col min="23" max="23" width="9.42578125" hidden="1" customWidth="1"/>
    <col min="24" max="24" width="6.5703125" hidden="1" customWidth="1"/>
    <col min="25" max="25" width="3.42578125" hidden="1" customWidth="1"/>
    <col min="26" max="26" width="1.7109375" customWidth="1"/>
  </cols>
  <sheetData>
    <row r="1" spans="1:26" ht="12.75" customHeight="1" x14ac:dyDescent="0.2">
      <c r="A1" s="1"/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95">
        <v>43095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/>
      <c r="H3" s="1"/>
      <c r="I3" s="6" t="s">
        <v>4</v>
      </c>
      <c r="J3" s="6" t="s">
        <v>5</v>
      </c>
      <c r="K3" s="6" t="s">
        <v>6</v>
      </c>
      <c r="L3" s="6" t="s">
        <v>7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3" t="s">
        <v>8</v>
      </c>
      <c r="C4" s="5">
        <v>20</v>
      </c>
      <c r="D4" s="5">
        <v>16</v>
      </c>
      <c r="E4" s="1">
        <v>11</v>
      </c>
      <c r="F4" s="1">
        <v>8</v>
      </c>
      <c r="G4" s="1"/>
      <c r="H4" s="1"/>
      <c r="I4" s="5">
        <v>20</v>
      </c>
      <c r="J4" s="5">
        <v>16</v>
      </c>
      <c r="K4" s="6">
        <v>11</v>
      </c>
      <c r="L4" s="6">
        <v>8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 t="s">
        <v>9</v>
      </c>
      <c r="C5" s="1" t="s">
        <v>10</v>
      </c>
      <c r="D5" s="1" t="s">
        <v>10</v>
      </c>
      <c r="E5" s="1" t="s">
        <v>10</v>
      </c>
      <c r="F5" s="1" t="s">
        <v>10</v>
      </c>
      <c r="G5" s="1"/>
      <c r="H5" s="1"/>
      <c r="I5" s="6" t="s">
        <v>10</v>
      </c>
      <c r="J5" s="6" t="s">
        <v>10</v>
      </c>
      <c r="K5" s="6" t="s">
        <v>10</v>
      </c>
      <c r="L5" s="6" t="s">
        <v>10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 t="s">
        <v>12</v>
      </c>
      <c r="C6" s="1" t="s">
        <v>10</v>
      </c>
      <c r="D6" s="1" t="s">
        <v>10</v>
      </c>
      <c r="E6" s="1" t="s">
        <v>10</v>
      </c>
      <c r="F6" s="1" t="s">
        <v>10</v>
      </c>
      <c r="G6" s="1"/>
      <c r="H6" s="1"/>
      <c r="I6" s="6" t="s">
        <v>10</v>
      </c>
      <c r="J6" s="6" t="s">
        <v>10</v>
      </c>
      <c r="K6" s="6" t="s">
        <v>10</v>
      </c>
      <c r="L6" s="6" t="s">
        <v>10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3" t="s">
        <v>13</v>
      </c>
      <c r="C7" s="2">
        <v>10</v>
      </c>
      <c r="D7" s="1">
        <v>7</v>
      </c>
      <c r="E7" s="1">
        <v>5</v>
      </c>
      <c r="F7" s="1">
        <v>3</v>
      </c>
      <c r="G7" s="1"/>
      <c r="H7" s="1"/>
      <c r="I7" s="2">
        <v>10</v>
      </c>
      <c r="J7" s="6">
        <v>7</v>
      </c>
      <c r="K7" s="6">
        <v>5</v>
      </c>
      <c r="L7" s="6">
        <v>3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1" t="s">
        <v>14</v>
      </c>
      <c r="C8" s="1" t="s">
        <v>10</v>
      </c>
      <c r="D8" s="1" t="s">
        <v>10</v>
      </c>
      <c r="E8" s="1" t="s">
        <v>10</v>
      </c>
      <c r="F8" s="1" t="s">
        <v>10</v>
      </c>
      <c r="G8" s="1"/>
      <c r="H8" s="1"/>
      <c r="I8" s="6" t="s">
        <v>10</v>
      </c>
      <c r="J8" s="6" t="s">
        <v>10</v>
      </c>
      <c r="K8" s="6" t="s">
        <v>10</v>
      </c>
      <c r="L8" s="6" t="s">
        <v>10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1" t="s">
        <v>15</v>
      </c>
      <c r="C9" s="1" t="s">
        <v>16</v>
      </c>
      <c r="D9" s="1" t="s">
        <v>16</v>
      </c>
      <c r="E9" s="1" t="s">
        <v>16</v>
      </c>
      <c r="F9" s="1" t="s">
        <v>16</v>
      </c>
      <c r="G9" s="1"/>
      <c r="H9" s="1"/>
      <c r="I9" s="6" t="s">
        <v>16</v>
      </c>
      <c r="J9" s="6" t="s">
        <v>16</v>
      </c>
      <c r="K9" s="6" t="s">
        <v>16</v>
      </c>
      <c r="L9" s="6" t="s">
        <v>16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/>
      <c r="B10" s="1" t="s">
        <v>17</v>
      </c>
      <c r="C10" s="1" t="s">
        <v>10</v>
      </c>
      <c r="D10" s="1" t="s">
        <v>10</v>
      </c>
      <c r="E10" s="1" t="s">
        <v>10</v>
      </c>
      <c r="F10" s="1" t="s">
        <v>10</v>
      </c>
      <c r="G10" s="1"/>
      <c r="H10" s="1"/>
      <c r="I10" s="6" t="s">
        <v>10</v>
      </c>
      <c r="J10" s="6" t="s">
        <v>10</v>
      </c>
      <c r="K10" s="6" t="s">
        <v>10</v>
      </c>
      <c r="L10" s="6" t="s">
        <v>10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1" t="s">
        <v>18</v>
      </c>
      <c r="C11" s="1" t="s">
        <v>10</v>
      </c>
      <c r="D11" s="1" t="s">
        <v>10</v>
      </c>
      <c r="E11" s="1" t="s">
        <v>10</v>
      </c>
      <c r="F11" s="1" t="s">
        <v>10</v>
      </c>
      <c r="G11" s="1"/>
      <c r="H11" s="1"/>
      <c r="I11" s="6" t="s">
        <v>10</v>
      </c>
      <c r="J11" s="6" t="s">
        <v>10</v>
      </c>
      <c r="K11" s="6" t="s">
        <v>10</v>
      </c>
      <c r="L11" s="6" t="s">
        <v>10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"/>
      <c r="B12" s="3" t="s">
        <v>19</v>
      </c>
      <c r="C12" s="1">
        <v>11</v>
      </c>
      <c r="D12" s="1">
        <v>9</v>
      </c>
      <c r="E12" s="1">
        <v>7</v>
      </c>
      <c r="F12" s="1" t="s">
        <v>10</v>
      </c>
      <c r="G12" s="1"/>
      <c r="H12" s="1"/>
      <c r="I12" s="6">
        <v>11</v>
      </c>
      <c r="J12" s="6">
        <v>9</v>
      </c>
      <c r="K12" s="6">
        <v>7</v>
      </c>
      <c r="L12" s="6" t="s">
        <v>10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/>
      <c r="B13" s="3" t="s">
        <v>20</v>
      </c>
      <c r="C13" s="7">
        <v>12</v>
      </c>
      <c r="D13" s="7">
        <v>11</v>
      </c>
      <c r="E13" s="7">
        <v>8</v>
      </c>
      <c r="F13" s="7" t="s">
        <v>10</v>
      </c>
      <c r="G13" s="1"/>
      <c r="H13" s="1"/>
      <c r="I13" s="7">
        <v>12</v>
      </c>
      <c r="J13" s="7">
        <v>11</v>
      </c>
      <c r="K13" s="7">
        <v>8</v>
      </c>
      <c r="L13" s="7" t="s">
        <v>10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"/>
      <c r="B14" s="3" t="s">
        <v>21</v>
      </c>
      <c r="C14" s="6">
        <v>11</v>
      </c>
      <c r="D14" s="6">
        <v>9</v>
      </c>
      <c r="E14" s="6">
        <v>7</v>
      </c>
      <c r="F14" s="6" t="s">
        <v>10</v>
      </c>
      <c r="G14" s="1"/>
      <c r="H14" s="1"/>
      <c r="I14" s="6">
        <v>11</v>
      </c>
      <c r="J14" s="6">
        <v>9</v>
      </c>
      <c r="K14" s="6">
        <v>7</v>
      </c>
      <c r="L14" s="6" t="s">
        <v>10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3" t="s">
        <v>22</v>
      </c>
      <c r="C15" s="6">
        <v>11</v>
      </c>
      <c r="D15" s="6">
        <v>9</v>
      </c>
      <c r="E15" s="6">
        <v>7</v>
      </c>
      <c r="F15" s="6" t="s">
        <v>10</v>
      </c>
      <c r="G15" s="1"/>
      <c r="H15" s="1"/>
      <c r="I15" s="6">
        <v>11</v>
      </c>
      <c r="J15" s="6">
        <v>9</v>
      </c>
      <c r="K15" s="6">
        <v>7</v>
      </c>
      <c r="L15" s="6" t="s">
        <v>10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"/>
      <c r="B16" s="3" t="s">
        <v>24</v>
      </c>
      <c r="C16" s="6">
        <v>11</v>
      </c>
      <c r="D16" s="6">
        <v>9</v>
      </c>
      <c r="E16" s="6">
        <v>7</v>
      </c>
      <c r="F16" s="6" t="s">
        <v>10</v>
      </c>
      <c r="G16" s="1"/>
      <c r="H16" s="1"/>
      <c r="I16" s="6">
        <v>11</v>
      </c>
      <c r="J16" s="6">
        <v>9</v>
      </c>
      <c r="K16" s="6">
        <v>7</v>
      </c>
      <c r="L16" s="6" t="s">
        <v>10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3" t="s">
        <v>29</v>
      </c>
      <c r="C17" s="7">
        <v>20</v>
      </c>
      <c r="D17" s="7">
        <v>16</v>
      </c>
      <c r="E17" s="7">
        <v>11</v>
      </c>
      <c r="F17" s="7">
        <v>8</v>
      </c>
      <c r="G17" s="1"/>
      <c r="H17" s="1"/>
      <c r="I17" s="7">
        <v>20</v>
      </c>
      <c r="J17" s="7">
        <v>16</v>
      </c>
      <c r="K17" s="7">
        <v>11</v>
      </c>
      <c r="L17" s="7">
        <v>8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91" t="s">
        <v>34</v>
      </c>
      <c r="C18" s="89">
        <v>16</v>
      </c>
      <c r="D18" s="89">
        <v>13</v>
      </c>
      <c r="E18" s="5">
        <v>9</v>
      </c>
      <c r="F18" s="5">
        <v>5</v>
      </c>
      <c r="G18" s="1"/>
      <c r="H18" s="1"/>
      <c r="I18" s="89">
        <v>14</v>
      </c>
      <c r="J18" s="89">
        <v>12</v>
      </c>
      <c r="K18" s="5">
        <v>9</v>
      </c>
      <c r="L18" s="5">
        <v>5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1" t="s">
        <v>37</v>
      </c>
      <c r="C19" s="1" t="s">
        <v>10</v>
      </c>
      <c r="D19" s="1" t="s">
        <v>10</v>
      </c>
      <c r="E19" s="1" t="s">
        <v>10</v>
      </c>
      <c r="F19" s="1" t="s">
        <v>10</v>
      </c>
      <c r="G19" s="1"/>
      <c r="H19" s="1"/>
      <c r="I19" s="6" t="s">
        <v>10</v>
      </c>
      <c r="J19" s="6" t="s">
        <v>10</v>
      </c>
      <c r="K19" s="6" t="s">
        <v>10</v>
      </c>
      <c r="L19" s="6" t="s">
        <v>10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1" t="s">
        <v>40</v>
      </c>
      <c r="C20" s="2">
        <v>10</v>
      </c>
      <c r="D20" s="1">
        <v>7</v>
      </c>
      <c r="E20" s="1">
        <v>5</v>
      </c>
      <c r="F20" s="1">
        <v>3</v>
      </c>
      <c r="G20" s="1"/>
      <c r="H20" s="1"/>
      <c r="I20" s="2">
        <v>10</v>
      </c>
      <c r="J20" s="6">
        <v>7</v>
      </c>
      <c r="K20" s="6">
        <v>5</v>
      </c>
      <c r="L20" s="6">
        <v>3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1" t="s">
        <v>41</v>
      </c>
      <c r="C21" s="1" t="s">
        <v>10</v>
      </c>
      <c r="D21" s="1" t="s">
        <v>10</v>
      </c>
      <c r="E21" s="1" t="s">
        <v>10</v>
      </c>
      <c r="F21" s="1" t="s">
        <v>10</v>
      </c>
      <c r="G21" s="1"/>
      <c r="H21" s="1"/>
      <c r="I21" s="6" t="s">
        <v>10</v>
      </c>
      <c r="J21" s="6" t="s">
        <v>10</v>
      </c>
      <c r="K21" s="6" t="s">
        <v>10</v>
      </c>
      <c r="L21" s="6" t="s">
        <v>10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87" t="s">
        <v>42</v>
      </c>
      <c r="C22" s="90">
        <v>17</v>
      </c>
      <c r="D22" s="89">
        <v>15</v>
      </c>
      <c r="E22" s="5">
        <v>11</v>
      </c>
      <c r="F22" s="5">
        <v>7</v>
      </c>
      <c r="G22" s="1"/>
      <c r="H22" s="1"/>
      <c r="I22" s="90">
        <v>16</v>
      </c>
      <c r="J22" s="89">
        <v>14</v>
      </c>
      <c r="K22" s="5">
        <v>11</v>
      </c>
      <c r="L22" s="5">
        <v>7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87" t="s">
        <v>43</v>
      </c>
      <c r="C23" s="89">
        <v>19</v>
      </c>
      <c r="D23" s="88">
        <v>17</v>
      </c>
      <c r="E23" s="5">
        <v>13</v>
      </c>
      <c r="F23" s="5">
        <v>9</v>
      </c>
      <c r="G23" s="1"/>
      <c r="H23" s="1"/>
      <c r="I23" s="7">
        <v>18</v>
      </c>
      <c r="J23" s="5">
        <v>16</v>
      </c>
      <c r="K23" s="5">
        <v>13</v>
      </c>
      <c r="L23" s="5">
        <v>9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91" t="s">
        <v>47</v>
      </c>
      <c r="C24" s="7">
        <v>14</v>
      </c>
      <c r="D24" s="7">
        <v>12</v>
      </c>
      <c r="E24" s="7">
        <v>9</v>
      </c>
      <c r="F24" s="7">
        <v>5</v>
      </c>
      <c r="G24" s="6" t="s">
        <v>49</v>
      </c>
      <c r="H24" s="1"/>
      <c r="I24" s="7">
        <v>14</v>
      </c>
      <c r="J24" s="7">
        <v>12</v>
      </c>
      <c r="K24" s="7">
        <v>9</v>
      </c>
      <c r="L24" s="7">
        <v>5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3" t="s">
        <v>56</v>
      </c>
      <c r="C25" s="1">
        <v>10</v>
      </c>
      <c r="D25" s="1">
        <v>8</v>
      </c>
      <c r="E25" s="1">
        <v>6</v>
      </c>
      <c r="F25" s="1">
        <v>4</v>
      </c>
      <c r="G25" s="1"/>
      <c r="H25" s="1"/>
      <c r="I25" s="6">
        <v>10</v>
      </c>
      <c r="J25" s="6">
        <v>8</v>
      </c>
      <c r="K25" s="6">
        <v>6</v>
      </c>
      <c r="L25" s="6">
        <v>4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3" t="s">
        <v>63</v>
      </c>
      <c r="C26" s="7">
        <v>11</v>
      </c>
      <c r="D26" s="7">
        <v>9</v>
      </c>
      <c r="E26" s="7">
        <v>7</v>
      </c>
      <c r="F26" s="7">
        <v>5</v>
      </c>
      <c r="G26" s="1"/>
      <c r="H26" s="1"/>
      <c r="I26" s="7">
        <v>11</v>
      </c>
      <c r="J26" s="7">
        <v>9</v>
      </c>
      <c r="K26" s="7">
        <v>7</v>
      </c>
      <c r="L26" s="7">
        <v>5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3" t="s">
        <v>71</v>
      </c>
      <c r="C27" s="6">
        <v>10</v>
      </c>
      <c r="D27" s="6">
        <v>8</v>
      </c>
      <c r="E27" s="6">
        <v>6</v>
      </c>
      <c r="F27" s="6">
        <v>4</v>
      </c>
      <c r="G27" s="1"/>
      <c r="H27" s="1"/>
      <c r="I27" s="6">
        <v>10</v>
      </c>
      <c r="J27" s="6">
        <v>8</v>
      </c>
      <c r="K27" s="6">
        <v>6</v>
      </c>
      <c r="L27" s="6">
        <v>4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3" t="s">
        <v>76</v>
      </c>
      <c r="C28" s="6">
        <v>10</v>
      </c>
      <c r="D28" s="6">
        <v>8</v>
      </c>
      <c r="E28" s="6">
        <v>6</v>
      </c>
      <c r="F28" s="6">
        <v>4</v>
      </c>
      <c r="G28" s="1"/>
      <c r="H28" s="1"/>
      <c r="I28" s="6">
        <v>10</v>
      </c>
      <c r="J28" s="6">
        <v>8</v>
      </c>
      <c r="K28" s="6">
        <v>6</v>
      </c>
      <c r="L28" s="6">
        <v>4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3" t="s">
        <v>77</v>
      </c>
      <c r="C29" s="6">
        <v>10</v>
      </c>
      <c r="D29" s="6">
        <v>8</v>
      </c>
      <c r="E29" s="6">
        <v>6</v>
      </c>
      <c r="F29" s="6">
        <v>4</v>
      </c>
      <c r="G29" s="1"/>
      <c r="H29" s="1"/>
      <c r="I29" s="6">
        <v>10</v>
      </c>
      <c r="J29" s="6">
        <v>8</v>
      </c>
      <c r="K29" s="6">
        <v>6</v>
      </c>
      <c r="L29" s="6">
        <v>4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" t="s">
        <v>79</v>
      </c>
      <c r="C30" s="1" t="s">
        <v>10</v>
      </c>
      <c r="D30" s="1" t="s">
        <v>10</v>
      </c>
      <c r="E30" s="1" t="s">
        <v>10</v>
      </c>
      <c r="F30" s="1" t="s">
        <v>10</v>
      </c>
      <c r="G30" s="1"/>
      <c r="H30" s="1"/>
      <c r="I30" s="6" t="s">
        <v>10</v>
      </c>
      <c r="J30" s="6" t="s">
        <v>10</v>
      </c>
      <c r="K30" s="6" t="s">
        <v>10</v>
      </c>
      <c r="L30" s="6" t="s">
        <v>10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87" t="s">
        <v>85</v>
      </c>
      <c r="C31" s="88">
        <v>12</v>
      </c>
      <c r="D31" s="88">
        <v>10</v>
      </c>
      <c r="E31" s="1">
        <v>7</v>
      </c>
      <c r="F31" s="1">
        <v>4</v>
      </c>
      <c r="G31" s="1"/>
      <c r="H31" s="1"/>
      <c r="I31" s="6">
        <v>11</v>
      </c>
      <c r="J31" s="6">
        <v>9</v>
      </c>
      <c r="K31" s="6">
        <v>7</v>
      </c>
      <c r="L31" s="6">
        <v>4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92" t="s">
        <v>91</v>
      </c>
      <c r="C32" s="93">
        <v>19</v>
      </c>
      <c r="D32" s="93">
        <v>15</v>
      </c>
      <c r="E32" s="5">
        <v>10</v>
      </c>
      <c r="F32" s="5">
        <v>7</v>
      </c>
      <c r="G32" s="1"/>
      <c r="H32" s="1"/>
      <c r="I32" s="5">
        <v>19</v>
      </c>
      <c r="J32" s="5">
        <v>15</v>
      </c>
      <c r="K32" s="5">
        <v>10</v>
      </c>
      <c r="L32" s="5">
        <v>7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 t="s">
        <v>92</v>
      </c>
      <c r="C33" s="1">
        <v>10</v>
      </c>
      <c r="D33" s="7">
        <v>8</v>
      </c>
      <c r="E33" s="7">
        <v>5</v>
      </c>
      <c r="F33" s="7">
        <v>3</v>
      </c>
      <c r="G33" s="1" t="s">
        <v>93</v>
      </c>
      <c r="H33" s="1"/>
      <c r="I33" s="6">
        <v>10</v>
      </c>
      <c r="J33" s="7">
        <v>8</v>
      </c>
      <c r="K33" s="7">
        <v>5</v>
      </c>
      <c r="L33" s="7">
        <v>3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3" t="s">
        <v>94</v>
      </c>
      <c r="C34" s="5">
        <v>18</v>
      </c>
      <c r="D34" s="5">
        <v>14</v>
      </c>
      <c r="E34" s="5">
        <v>9</v>
      </c>
      <c r="F34" s="5">
        <v>6</v>
      </c>
      <c r="G34" s="1"/>
      <c r="H34" s="1"/>
      <c r="I34" s="5">
        <v>18</v>
      </c>
      <c r="J34" s="5">
        <v>14</v>
      </c>
      <c r="K34" s="5">
        <v>9</v>
      </c>
      <c r="L34" s="5">
        <v>6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87" t="s">
        <v>95</v>
      </c>
      <c r="C35" s="88">
        <v>14</v>
      </c>
      <c r="D35" s="88">
        <v>12</v>
      </c>
      <c r="E35" s="5">
        <v>9</v>
      </c>
      <c r="F35" s="5">
        <v>6</v>
      </c>
      <c r="G35" s="1"/>
      <c r="H35" s="1"/>
      <c r="I35" s="5">
        <v>13</v>
      </c>
      <c r="J35" s="5">
        <v>11</v>
      </c>
      <c r="K35" s="5">
        <v>9</v>
      </c>
      <c r="L35" s="5">
        <v>6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87" t="s">
        <v>96</v>
      </c>
      <c r="C36" s="88">
        <v>16</v>
      </c>
      <c r="D36" s="88">
        <v>14</v>
      </c>
      <c r="E36" s="5">
        <v>11</v>
      </c>
      <c r="F36" s="5">
        <v>8</v>
      </c>
      <c r="G36" s="1"/>
      <c r="H36" s="1"/>
      <c r="I36" s="5">
        <v>15</v>
      </c>
      <c r="J36" s="5">
        <v>13</v>
      </c>
      <c r="K36" s="5">
        <v>11</v>
      </c>
      <c r="L36" s="5">
        <v>8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3" t="s">
        <v>97</v>
      </c>
      <c r="C37" s="1" t="s">
        <v>10</v>
      </c>
      <c r="D37" s="1" t="s">
        <v>10</v>
      </c>
      <c r="E37" s="5">
        <v>20</v>
      </c>
      <c r="F37" s="1" t="s">
        <v>10</v>
      </c>
      <c r="G37" s="1"/>
      <c r="H37" s="1"/>
      <c r="I37" s="6" t="s">
        <v>10</v>
      </c>
      <c r="J37" s="6" t="s">
        <v>10</v>
      </c>
      <c r="K37" s="5">
        <v>20</v>
      </c>
      <c r="L37" s="6" t="s">
        <v>10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87" t="s">
        <v>99</v>
      </c>
      <c r="C38" s="88">
        <v>12</v>
      </c>
      <c r="D38" s="88">
        <v>10</v>
      </c>
      <c r="E38" s="1">
        <v>7</v>
      </c>
      <c r="F38" s="1">
        <v>4</v>
      </c>
      <c r="G38" s="1"/>
      <c r="H38" s="1"/>
      <c r="I38" s="6">
        <v>11</v>
      </c>
      <c r="J38" s="6">
        <v>9</v>
      </c>
      <c r="K38" s="6">
        <v>7</v>
      </c>
      <c r="L38" s="6">
        <v>4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3" t="s">
        <v>100</v>
      </c>
      <c r="C39" s="1">
        <v>9</v>
      </c>
      <c r="D39" s="1">
        <v>7</v>
      </c>
      <c r="E39" s="1">
        <v>5</v>
      </c>
      <c r="F39" s="1">
        <v>3</v>
      </c>
      <c r="G39" s="1"/>
      <c r="H39" s="1"/>
      <c r="I39" s="6">
        <v>9</v>
      </c>
      <c r="J39" s="6">
        <v>7</v>
      </c>
      <c r="K39" s="6">
        <v>5</v>
      </c>
      <c r="L39" s="6">
        <v>3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3" t="s">
        <v>101</v>
      </c>
      <c r="C40" s="7">
        <v>10</v>
      </c>
      <c r="D40" s="7">
        <v>8</v>
      </c>
      <c r="E40" s="7">
        <v>6</v>
      </c>
      <c r="F40" s="7">
        <v>4</v>
      </c>
      <c r="G40" s="1"/>
      <c r="H40" s="1"/>
      <c r="I40" s="7">
        <v>10</v>
      </c>
      <c r="J40" s="7">
        <v>8</v>
      </c>
      <c r="K40" s="7">
        <v>6</v>
      </c>
      <c r="L40" s="7">
        <v>4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3" t="s">
        <v>104</v>
      </c>
      <c r="C41" s="6">
        <v>9</v>
      </c>
      <c r="D41" s="6">
        <v>7</v>
      </c>
      <c r="E41" s="6">
        <v>5</v>
      </c>
      <c r="F41" s="6">
        <v>3</v>
      </c>
      <c r="G41" s="1"/>
      <c r="H41" s="1"/>
      <c r="I41" s="6">
        <v>9</v>
      </c>
      <c r="J41" s="6">
        <v>7</v>
      </c>
      <c r="K41" s="6">
        <v>5</v>
      </c>
      <c r="L41" s="6">
        <v>3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3" t="s">
        <v>106</v>
      </c>
      <c r="C42" s="6">
        <v>9</v>
      </c>
      <c r="D42" s="6">
        <v>7</v>
      </c>
      <c r="E42" s="6">
        <v>5</v>
      </c>
      <c r="F42" s="6">
        <v>3</v>
      </c>
      <c r="G42" s="1"/>
      <c r="H42" s="1"/>
      <c r="I42" s="6">
        <v>9</v>
      </c>
      <c r="J42" s="6">
        <v>7</v>
      </c>
      <c r="K42" s="6">
        <v>5</v>
      </c>
      <c r="L42" s="6">
        <v>3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3" t="s">
        <v>107</v>
      </c>
      <c r="C43" s="6">
        <v>9</v>
      </c>
      <c r="D43" s="6">
        <v>7</v>
      </c>
      <c r="E43" s="6">
        <v>5</v>
      </c>
      <c r="F43" s="6">
        <v>3</v>
      </c>
      <c r="G43" s="1"/>
      <c r="H43" s="1"/>
      <c r="I43" s="6">
        <v>9</v>
      </c>
      <c r="J43" s="6">
        <v>7</v>
      </c>
      <c r="K43" s="6">
        <v>5</v>
      </c>
      <c r="L43" s="6">
        <v>3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 t="s">
        <v>108</v>
      </c>
      <c r="C44" s="1" t="s">
        <v>10</v>
      </c>
      <c r="D44" s="1" t="s">
        <v>10</v>
      </c>
      <c r="E44" s="1" t="s">
        <v>10</v>
      </c>
      <c r="F44" s="1" t="s">
        <v>10</v>
      </c>
      <c r="G44" s="1"/>
      <c r="H44" s="1"/>
      <c r="I44" s="6" t="s">
        <v>10</v>
      </c>
      <c r="J44" s="6" t="s">
        <v>10</v>
      </c>
      <c r="K44" s="6" t="s">
        <v>10</v>
      </c>
      <c r="L44" s="6" t="s">
        <v>10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87" t="s">
        <v>109</v>
      </c>
      <c r="C45" s="88">
        <v>10</v>
      </c>
      <c r="D45" s="88">
        <v>8</v>
      </c>
      <c r="E45" s="1">
        <v>5</v>
      </c>
      <c r="F45" s="1">
        <v>3</v>
      </c>
      <c r="G45" s="1"/>
      <c r="H45" s="1"/>
      <c r="I45" s="6">
        <v>9</v>
      </c>
      <c r="J45" s="6">
        <v>7</v>
      </c>
      <c r="K45" s="6">
        <v>5</v>
      </c>
      <c r="L45" s="6">
        <v>3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3" t="s">
        <v>110</v>
      </c>
      <c r="C46" s="5">
        <v>16</v>
      </c>
      <c r="D46" s="5">
        <v>13</v>
      </c>
      <c r="E46" s="5">
        <v>8</v>
      </c>
      <c r="F46" s="5">
        <v>6</v>
      </c>
      <c r="G46" s="1"/>
      <c r="H46" s="1"/>
      <c r="I46" s="5">
        <v>16</v>
      </c>
      <c r="J46" s="5">
        <v>13</v>
      </c>
      <c r="K46" s="5">
        <v>8</v>
      </c>
      <c r="L46" s="5">
        <v>6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3" t="s">
        <v>111</v>
      </c>
      <c r="C47" s="15">
        <v>9</v>
      </c>
      <c r="D47" s="1">
        <v>7</v>
      </c>
      <c r="E47" s="1">
        <v>5</v>
      </c>
      <c r="F47" s="1">
        <v>3</v>
      </c>
      <c r="G47" s="1"/>
      <c r="H47" s="1"/>
      <c r="I47" s="15">
        <v>9</v>
      </c>
      <c r="J47" s="6">
        <v>7</v>
      </c>
      <c r="K47" s="6">
        <v>5</v>
      </c>
      <c r="L47" s="6">
        <v>3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3" t="s">
        <v>112</v>
      </c>
      <c r="C48" s="5">
        <v>15</v>
      </c>
      <c r="D48" s="5">
        <v>12</v>
      </c>
      <c r="E48" s="5">
        <v>7</v>
      </c>
      <c r="F48" s="5">
        <v>5</v>
      </c>
      <c r="G48" s="1"/>
      <c r="H48" s="1"/>
      <c r="I48" s="5">
        <v>15</v>
      </c>
      <c r="J48" s="5">
        <v>12</v>
      </c>
      <c r="K48" s="5">
        <v>7</v>
      </c>
      <c r="L48" s="5">
        <v>5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87" t="s">
        <v>113</v>
      </c>
      <c r="C49" s="88">
        <v>12</v>
      </c>
      <c r="D49" s="88">
        <v>10</v>
      </c>
      <c r="E49" s="5">
        <v>7</v>
      </c>
      <c r="F49" s="5">
        <v>5</v>
      </c>
      <c r="G49" s="1"/>
      <c r="H49" s="1"/>
      <c r="I49" s="5">
        <v>11</v>
      </c>
      <c r="J49" s="5">
        <v>9</v>
      </c>
      <c r="K49" s="5">
        <v>7</v>
      </c>
      <c r="L49" s="5">
        <v>5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87" t="s">
        <v>114</v>
      </c>
      <c r="C50" s="88">
        <v>14</v>
      </c>
      <c r="D50" s="88">
        <v>12</v>
      </c>
      <c r="E50" s="5">
        <v>9</v>
      </c>
      <c r="F50" s="5">
        <v>7</v>
      </c>
      <c r="G50" s="1"/>
      <c r="H50" s="1"/>
      <c r="I50" s="5">
        <v>13</v>
      </c>
      <c r="J50" s="5">
        <v>11</v>
      </c>
      <c r="K50" s="5">
        <v>9</v>
      </c>
      <c r="L50" s="5">
        <v>7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87" t="s">
        <v>115</v>
      </c>
      <c r="C51" s="88">
        <v>10</v>
      </c>
      <c r="D51" s="88">
        <v>8</v>
      </c>
      <c r="E51" s="1">
        <v>5</v>
      </c>
      <c r="F51" s="1">
        <v>3</v>
      </c>
      <c r="G51" s="1"/>
      <c r="H51" s="1"/>
      <c r="I51" s="6">
        <v>9</v>
      </c>
      <c r="J51" s="6">
        <v>7</v>
      </c>
      <c r="K51" s="6">
        <v>5</v>
      </c>
      <c r="L51" s="6">
        <v>3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3" t="s">
        <v>116</v>
      </c>
      <c r="C52" s="1">
        <v>8</v>
      </c>
      <c r="D52" s="1">
        <v>6</v>
      </c>
      <c r="E52" s="1">
        <v>4</v>
      </c>
      <c r="F52" s="1">
        <v>2</v>
      </c>
      <c r="G52" s="1"/>
      <c r="H52" s="1"/>
      <c r="I52" s="6">
        <v>8</v>
      </c>
      <c r="J52" s="6">
        <v>6</v>
      </c>
      <c r="K52" s="6">
        <v>4</v>
      </c>
      <c r="L52" s="6">
        <v>2</v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3" t="s">
        <v>118</v>
      </c>
      <c r="C53" s="7">
        <v>9</v>
      </c>
      <c r="D53" s="7">
        <v>7</v>
      </c>
      <c r="E53" s="7">
        <v>5</v>
      </c>
      <c r="F53" s="7">
        <v>3</v>
      </c>
      <c r="G53" s="1"/>
      <c r="H53" s="1"/>
      <c r="I53" s="7">
        <v>9</v>
      </c>
      <c r="J53" s="7">
        <v>7</v>
      </c>
      <c r="K53" s="7">
        <v>5</v>
      </c>
      <c r="L53" s="7">
        <v>3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3" t="s">
        <v>119</v>
      </c>
      <c r="C54" s="1">
        <v>8</v>
      </c>
      <c r="D54" s="1">
        <v>6</v>
      </c>
      <c r="E54" s="1">
        <v>4</v>
      </c>
      <c r="F54" s="1">
        <v>2</v>
      </c>
      <c r="G54" s="1"/>
      <c r="H54" s="1"/>
      <c r="I54" s="6">
        <v>8</v>
      </c>
      <c r="J54" s="6">
        <v>6</v>
      </c>
      <c r="K54" s="6">
        <v>4</v>
      </c>
      <c r="L54" s="6">
        <v>2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3" t="s">
        <v>120</v>
      </c>
      <c r="C55" s="1">
        <v>8</v>
      </c>
      <c r="D55" s="1">
        <v>6</v>
      </c>
      <c r="E55" s="1">
        <v>4</v>
      </c>
      <c r="F55" s="1">
        <v>2</v>
      </c>
      <c r="G55" s="1"/>
      <c r="H55" s="1"/>
      <c r="I55" s="6">
        <v>8</v>
      </c>
      <c r="J55" s="6">
        <v>6</v>
      </c>
      <c r="K55" s="6">
        <v>4</v>
      </c>
      <c r="L55" s="6">
        <v>2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3" t="s">
        <v>121</v>
      </c>
      <c r="C56" s="1">
        <v>8</v>
      </c>
      <c r="D56" s="1">
        <v>6</v>
      </c>
      <c r="E56" s="1">
        <v>4</v>
      </c>
      <c r="F56" s="1">
        <v>2</v>
      </c>
      <c r="G56" s="1"/>
      <c r="H56" s="1"/>
      <c r="I56" s="6">
        <v>8</v>
      </c>
      <c r="J56" s="6">
        <v>6</v>
      </c>
      <c r="K56" s="6">
        <v>4</v>
      </c>
      <c r="L56" s="6">
        <v>2</v>
      </c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3" t="s">
        <v>122</v>
      </c>
      <c r="C57" s="1" t="s">
        <v>10</v>
      </c>
      <c r="D57" s="1" t="s">
        <v>10</v>
      </c>
      <c r="E57" s="5">
        <v>20</v>
      </c>
      <c r="F57" s="1" t="s">
        <v>10</v>
      </c>
      <c r="G57" s="1"/>
      <c r="H57" s="1"/>
      <c r="I57" s="6" t="s">
        <v>10</v>
      </c>
      <c r="J57" s="6" t="s">
        <v>10</v>
      </c>
      <c r="K57" s="5">
        <v>20</v>
      </c>
      <c r="L57" s="6" t="s">
        <v>10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3" t="s">
        <v>123</v>
      </c>
      <c r="C58" s="1" t="s">
        <v>10</v>
      </c>
      <c r="D58" s="1" t="s">
        <v>10</v>
      </c>
      <c r="E58" s="7">
        <v>20</v>
      </c>
      <c r="F58" s="1" t="s">
        <v>10</v>
      </c>
      <c r="G58" s="6" t="s">
        <v>93</v>
      </c>
      <c r="H58" s="1"/>
      <c r="I58" s="6" t="s">
        <v>10</v>
      </c>
      <c r="J58" s="6" t="s">
        <v>10</v>
      </c>
      <c r="K58" s="7">
        <v>20</v>
      </c>
      <c r="L58" s="6" t="s">
        <v>10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3" t="s">
        <v>124</v>
      </c>
      <c r="C59" s="1">
        <v>8</v>
      </c>
      <c r="D59" s="1">
        <v>6</v>
      </c>
      <c r="E59" s="1">
        <v>4</v>
      </c>
      <c r="F59" s="1">
        <v>2</v>
      </c>
      <c r="G59" s="1"/>
      <c r="H59" s="1"/>
      <c r="I59" s="6">
        <v>8</v>
      </c>
      <c r="J59" s="6">
        <v>6</v>
      </c>
      <c r="K59" s="6">
        <v>4</v>
      </c>
      <c r="L59" s="6">
        <v>2</v>
      </c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3" t="s">
        <v>125</v>
      </c>
      <c r="C60" s="1" t="s">
        <v>10</v>
      </c>
      <c r="D60" s="1">
        <v>32</v>
      </c>
      <c r="E60" s="1">
        <v>25</v>
      </c>
      <c r="F60" s="1">
        <v>17</v>
      </c>
      <c r="G60" s="1"/>
      <c r="H60" s="1"/>
      <c r="I60" s="6" t="s">
        <v>10</v>
      </c>
      <c r="J60" s="6">
        <v>32</v>
      </c>
      <c r="K60" s="6">
        <v>25</v>
      </c>
      <c r="L60" s="6">
        <v>17</v>
      </c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3" t="s">
        <v>127</v>
      </c>
      <c r="C61" s="1" t="s">
        <v>10</v>
      </c>
      <c r="D61" s="1">
        <v>26</v>
      </c>
      <c r="E61" s="1">
        <v>20</v>
      </c>
      <c r="F61" s="1">
        <v>14</v>
      </c>
      <c r="G61" s="1"/>
      <c r="H61" s="1"/>
      <c r="I61" s="6" t="s">
        <v>10</v>
      </c>
      <c r="J61" s="6">
        <v>26</v>
      </c>
      <c r="K61" s="6">
        <v>20</v>
      </c>
      <c r="L61" s="6">
        <v>14</v>
      </c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3" t="s">
        <v>128</v>
      </c>
      <c r="C62" s="1" t="s">
        <v>10</v>
      </c>
      <c r="D62" s="1">
        <v>16</v>
      </c>
      <c r="E62" s="1">
        <v>12</v>
      </c>
      <c r="F62" s="1">
        <v>9</v>
      </c>
      <c r="G62" s="1"/>
      <c r="H62" s="1"/>
      <c r="I62" s="6" t="s">
        <v>10</v>
      </c>
      <c r="J62" s="6">
        <v>16</v>
      </c>
      <c r="K62" s="6">
        <v>12</v>
      </c>
      <c r="L62" s="6">
        <v>9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6"/>
      <c r="B63" s="6" t="s">
        <v>129</v>
      </c>
      <c r="C63" s="7">
        <v>16</v>
      </c>
      <c r="D63" s="7">
        <v>13</v>
      </c>
      <c r="E63" s="7">
        <v>10</v>
      </c>
      <c r="F63" s="7">
        <v>8</v>
      </c>
      <c r="G63" s="6" t="s">
        <v>130</v>
      </c>
      <c r="H63" s="6"/>
      <c r="I63" s="7">
        <v>16</v>
      </c>
      <c r="J63" s="7">
        <v>13</v>
      </c>
      <c r="K63" s="7">
        <v>10</v>
      </c>
      <c r="L63" s="7">
        <v>8</v>
      </c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2.75" customHeight="1" x14ac:dyDescent="0.2">
      <c r="A64" s="6"/>
      <c r="B64" s="6" t="s">
        <v>131</v>
      </c>
      <c r="C64" s="7">
        <v>16</v>
      </c>
      <c r="D64" s="7">
        <v>13</v>
      </c>
      <c r="E64" s="7">
        <v>10</v>
      </c>
      <c r="F64" s="7">
        <v>8</v>
      </c>
      <c r="G64" s="6" t="s">
        <v>130</v>
      </c>
      <c r="H64" s="6"/>
      <c r="I64" s="7">
        <v>16</v>
      </c>
      <c r="J64" s="7">
        <v>13</v>
      </c>
      <c r="K64" s="7">
        <v>10</v>
      </c>
      <c r="L64" s="7">
        <v>8</v>
      </c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2.75" customHeight="1" x14ac:dyDescent="0.2">
      <c r="A65" s="1"/>
      <c r="B65" s="6" t="s">
        <v>132</v>
      </c>
      <c r="C65" s="1">
        <v>14</v>
      </c>
      <c r="D65" s="1">
        <v>12</v>
      </c>
      <c r="E65" s="1">
        <v>9</v>
      </c>
      <c r="F65" s="1">
        <v>7</v>
      </c>
      <c r="G65" s="1"/>
      <c r="H65" s="1"/>
      <c r="I65" s="6">
        <v>14</v>
      </c>
      <c r="J65" s="6">
        <v>12</v>
      </c>
      <c r="K65" s="6">
        <v>9</v>
      </c>
      <c r="L65" s="6">
        <v>7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6" t="s">
        <v>133</v>
      </c>
      <c r="C66" s="1">
        <v>3</v>
      </c>
      <c r="D66" s="1"/>
      <c r="E66" s="1"/>
      <c r="F66" s="1"/>
      <c r="G66" s="1"/>
      <c r="H66" s="1"/>
      <c r="I66" s="6">
        <v>3</v>
      </c>
      <c r="J66" s="6"/>
      <c r="K66" s="6"/>
      <c r="L66" s="6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 t="s">
        <v>134</v>
      </c>
      <c r="C67" s="1" t="s">
        <v>10</v>
      </c>
      <c r="D67" s="1" t="s">
        <v>10</v>
      </c>
      <c r="E67" s="1">
        <v>20</v>
      </c>
      <c r="F67" s="1">
        <v>14</v>
      </c>
      <c r="G67" s="1"/>
      <c r="H67" s="1"/>
      <c r="I67" s="6" t="s">
        <v>10</v>
      </c>
      <c r="J67" s="6" t="s">
        <v>10</v>
      </c>
      <c r="K67" s="6">
        <v>20</v>
      </c>
      <c r="L67" s="6">
        <v>14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 t="s">
        <v>135</v>
      </c>
      <c r="C68" s="1" t="s">
        <v>10</v>
      </c>
      <c r="D68" s="1" t="s">
        <v>10</v>
      </c>
      <c r="E68" s="1">
        <v>14</v>
      </c>
      <c r="F68" s="1">
        <v>8</v>
      </c>
      <c r="G68" s="1"/>
      <c r="H68" s="1"/>
      <c r="I68" s="6" t="s">
        <v>10</v>
      </c>
      <c r="J68" s="6" t="s">
        <v>10</v>
      </c>
      <c r="K68" s="6">
        <v>14</v>
      </c>
      <c r="L68" s="6">
        <v>8</v>
      </c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 t="s">
        <v>136</v>
      </c>
      <c r="C69" s="1" t="s">
        <v>10</v>
      </c>
      <c r="D69" s="1" t="s">
        <v>10</v>
      </c>
      <c r="E69" s="1">
        <v>30</v>
      </c>
      <c r="F69" s="1" t="s">
        <v>10</v>
      </c>
      <c r="G69" s="1"/>
      <c r="H69" s="1"/>
      <c r="I69" s="6" t="s">
        <v>10</v>
      </c>
      <c r="J69" s="6" t="s">
        <v>10</v>
      </c>
      <c r="K69" s="6">
        <v>30</v>
      </c>
      <c r="L69" s="6" t="s">
        <v>10</v>
      </c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 t="s">
        <v>138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 t="s">
        <v>139</v>
      </c>
      <c r="I72" s="1" t="s">
        <v>140</v>
      </c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 t="s">
        <v>141</v>
      </c>
      <c r="I73" s="1" t="s">
        <v>140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 t="s">
        <v>142</v>
      </c>
      <c r="I74" s="1" t="s">
        <v>140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 t="s">
        <v>143</v>
      </c>
      <c r="I75" s="1" t="s">
        <v>144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 t="s">
        <v>145</v>
      </c>
      <c r="I76" s="1" t="s">
        <v>140</v>
      </c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 t="s">
        <v>146</v>
      </c>
      <c r="I77" s="1" t="s">
        <v>140</v>
      </c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 t="s">
        <v>147</v>
      </c>
      <c r="I78" s="1" t="s">
        <v>140</v>
      </c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 t="s">
        <v>148</v>
      </c>
      <c r="I79" s="1" t="s">
        <v>144</v>
      </c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 t="s">
        <v>149</v>
      </c>
      <c r="I80" s="1" t="s">
        <v>144</v>
      </c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 t="s">
        <v>150</v>
      </c>
      <c r="I81" s="1" t="s">
        <v>144</v>
      </c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 t="s">
        <v>151</v>
      </c>
      <c r="I82" s="1" t="s">
        <v>144</v>
      </c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 t="s">
        <v>152</v>
      </c>
      <c r="I83" s="1" t="s">
        <v>144</v>
      </c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 t="s">
        <v>153</v>
      </c>
      <c r="I84" s="1" t="s">
        <v>144</v>
      </c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 t="s">
        <v>154</v>
      </c>
      <c r="I85" s="1" t="s">
        <v>144</v>
      </c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6"/>
      <c r="B86" s="6"/>
      <c r="C86" s="6"/>
      <c r="D86" s="6"/>
      <c r="E86" s="6"/>
      <c r="F86" s="6"/>
      <c r="G86" s="6"/>
      <c r="H86" s="6" t="s">
        <v>155</v>
      </c>
      <c r="I86" s="6" t="s">
        <v>144</v>
      </c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 t="s">
        <v>156</v>
      </c>
      <c r="I87" s="1" t="s">
        <v>144</v>
      </c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 t="s">
        <v>157</v>
      </c>
      <c r="I88" s="1" t="s">
        <v>140</v>
      </c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 t="s">
        <v>159</v>
      </c>
      <c r="I89" s="1" t="s">
        <v>140</v>
      </c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 t="s">
        <v>160</v>
      </c>
      <c r="I90" s="1" t="s">
        <v>140</v>
      </c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 t="s">
        <v>161</v>
      </c>
      <c r="I91" s="1" t="s">
        <v>144</v>
      </c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 t="s">
        <v>162</v>
      </c>
      <c r="I92" s="1" t="s">
        <v>144</v>
      </c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 t="s">
        <v>163</v>
      </c>
      <c r="K93" s="1" t="s">
        <v>144</v>
      </c>
      <c r="L93" s="1" t="s">
        <v>140</v>
      </c>
      <c r="M93" s="1" t="s">
        <v>164</v>
      </c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 t="s">
        <v>10</v>
      </c>
      <c r="K94" s="1">
        <v>0</v>
      </c>
      <c r="L94" s="1">
        <v>0</v>
      </c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3" t="s">
        <v>165</v>
      </c>
      <c r="K95" s="5">
        <v>1</v>
      </c>
      <c r="L95" s="1">
        <v>0</v>
      </c>
      <c r="M95" s="1" t="s">
        <v>166</v>
      </c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3" t="s">
        <v>167</v>
      </c>
      <c r="K96" s="1">
        <v>3</v>
      </c>
      <c r="L96" s="1">
        <v>0</v>
      </c>
      <c r="M96" s="1" t="s">
        <v>166</v>
      </c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3" t="s">
        <v>168</v>
      </c>
      <c r="K97" s="1">
        <v>2</v>
      </c>
      <c r="L97" s="1">
        <v>0</v>
      </c>
      <c r="M97" s="1" t="s">
        <v>166</v>
      </c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 t="s">
        <v>169</v>
      </c>
      <c r="K98" s="1" t="s">
        <v>10</v>
      </c>
      <c r="L98" s="5">
        <v>1</v>
      </c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 t="s">
        <v>170</v>
      </c>
      <c r="K99" s="1" t="s">
        <v>10</v>
      </c>
      <c r="L99" s="5">
        <v>1</v>
      </c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3" t="s">
        <v>171</v>
      </c>
      <c r="K100" s="1">
        <v>1</v>
      </c>
      <c r="L100" s="5">
        <v>1</v>
      </c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 t="s">
        <v>172</v>
      </c>
      <c r="K101" s="5">
        <v>0</v>
      </c>
      <c r="L101" s="5">
        <v>0</v>
      </c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 t="s">
        <v>173</v>
      </c>
      <c r="K102" s="1">
        <v>0</v>
      </c>
      <c r="L102" s="1">
        <v>0</v>
      </c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 t="s">
        <v>174</v>
      </c>
      <c r="K103" s="1">
        <v>0</v>
      </c>
      <c r="L103" s="1" t="s">
        <v>10</v>
      </c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 t="s">
        <v>176</v>
      </c>
      <c r="K104" s="1">
        <v>0</v>
      </c>
      <c r="L104" s="1" t="s">
        <v>10</v>
      </c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 t="s">
        <v>177</v>
      </c>
      <c r="K105" s="1">
        <v>0</v>
      </c>
      <c r="L105" s="1" t="s">
        <v>10</v>
      </c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 t="s">
        <v>156</v>
      </c>
      <c r="K106" s="1">
        <v>0</v>
      </c>
      <c r="L106" s="1" t="s">
        <v>10</v>
      </c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 t="s">
        <v>178</v>
      </c>
      <c r="K107" s="1">
        <v>3</v>
      </c>
      <c r="L107" s="1" t="s">
        <v>10</v>
      </c>
      <c r="M107" s="1" t="s">
        <v>166</v>
      </c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 t="s">
        <v>179</v>
      </c>
      <c r="K108" s="1">
        <v>1</v>
      </c>
      <c r="L108" s="1">
        <v>0</v>
      </c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 t="s">
        <v>180</v>
      </c>
      <c r="K109" s="1">
        <v>0</v>
      </c>
      <c r="L109" s="1">
        <v>0</v>
      </c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 t="s">
        <v>181</v>
      </c>
      <c r="K110" s="1">
        <v>0</v>
      </c>
      <c r="L110" s="1">
        <v>0</v>
      </c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 t="s">
        <v>136</v>
      </c>
      <c r="K111" s="1">
        <v>0</v>
      </c>
      <c r="L111" s="1">
        <v>0</v>
      </c>
      <c r="M111" s="1" t="s">
        <v>140</v>
      </c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 t="s">
        <v>182</v>
      </c>
      <c r="N113" s="1" t="s">
        <v>144</v>
      </c>
      <c r="O113" s="1" t="s">
        <v>140</v>
      </c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 t="s">
        <v>10</v>
      </c>
      <c r="N114" s="1">
        <v>0</v>
      </c>
      <c r="O114" s="1">
        <v>0</v>
      </c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3" t="s">
        <v>183</v>
      </c>
      <c r="N115" s="1"/>
      <c r="O115" s="1">
        <v>2</v>
      </c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 t="s">
        <v>184</v>
      </c>
      <c r="N116" s="1"/>
      <c r="O116" s="1">
        <v>1</v>
      </c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3" t="s">
        <v>170</v>
      </c>
      <c r="N117" s="1"/>
      <c r="O117" s="1">
        <v>2</v>
      </c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 t="s">
        <v>186</v>
      </c>
      <c r="N118" s="1">
        <v>1</v>
      </c>
      <c r="O118" s="1" t="s">
        <v>10</v>
      </c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 t="s">
        <v>187</v>
      </c>
      <c r="N119" s="1">
        <v>1</v>
      </c>
      <c r="O119" s="1" t="s">
        <v>10</v>
      </c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 t="s">
        <v>188</v>
      </c>
      <c r="N120" s="5">
        <v>0</v>
      </c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3" t="s">
        <v>189</v>
      </c>
      <c r="N121" s="1"/>
      <c r="O121" s="5">
        <v>3</v>
      </c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 t="s">
        <v>190</v>
      </c>
      <c r="N122" s="1">
        <v>1</v>
      </c>
      <c r="O122" s="1" t="s">
        <v>10</v>
      </c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 t="s">
        <v>191</v>
      </c>
      <c r="N123" s="1">
        <v>1</v>
      </c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 t="s">
        <v>192</v>
      </c>
      <c r="N124" s="1">
        <v>0</v>
      </c>
      <c r="O124" s="1">
        <v>0</v>
      </c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 t="s">
        <v>178</v>
      </c>
      <c r="N125" s="5">
        <v>0</v>
      </c>
      <c r="O125" s="5">
        <v>0</v>
      </c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 t="s">
        <v>193</v>
      </c>
      <c r="N126" s="5">
        <v>0</v>
      </c>
      <c r="O126" s="5">
        <v>0</v>
      </c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 t="s">
        <v>194</v>
      </c>
      <c r="N127" s="1">
        <v>0</v>
      </c>
      <c r="O127" s="1">
        <v>0</v>
      </c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 t="s">
        <v>156</v>
      </c>
      <c r="N128" s="1">
        <v>0</v>
      </c>
      <c r="O128" s="1">
        <v>0</v>
      </c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 t="s">
        <v>195</v>
      </c>
      <c r="Q130" s="1" t="s">
        <v>144</v>
      </c>
      <c r="R130" s="1" t="s">
        <v>140</v>
      </c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>
        <v>0</v>
      </c>
      <c r="R131" s="1">
        <v>0</v>
      </c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 t="s">
        <v>170</v>
      </c>
      <c r="Q132" s="1">
        <v>0</v>
      </c>
      <c r="R132" s="1">
        <v>2</v>
      </c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 t="s">
        <v>187</v>
      </c>
      <c r="Q133" s="1">
        <v>0</v>
      </c>
      <c r="R133" s="1">
        <v>0</v>
      </c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 t="s">
        <v>188</v>
      </c>
      <c r="Q134" s="5">
        <v>0</v>
      </c>
      <c r="R134" s="1">
        <v>0</v>
      </c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 t="s">
        <v>186</v>
      </c>
      <c r="Q135" s="5">
        <v>1</v>
      </c>
      <c r="R135" s="1">
        <v>0</v>
      </c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 t="s">
        <v>194</v>
      </c>
      <c r="Q136" s="1">
        <v>0</v>
      </c>
      <c r="R136" s="1">
        <v>0</v>
      </c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 t="s">
        <v>196</v>
      </c>
      <c r="Q137" s="1">
        <v>1</v>
      </c>
      <c r="R137" s="5">
        <v>1</v>
      </c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 t="s">
        <v>197</v>
      </c>
      <c r="T139" s="1" t="s">
        <v>137</v>
      </c>
      <c r="U139" s="1" t="s">
        <v>198</v>
      </c>
      <c r="V139" s="1" t="s">
        <v>199</v>
      </c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 t="s">
        <v>200</v>
      </c>
      <c r="T140" s="1">
        <v>80</v>
      </c>
      <c r="U140" s="1">
        <v>80</v>
      </c>
      <c r="V140" s="1">
        <v>70</v>
      </c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 t="s">
        <v>201</v>
      </c>
      <c r="T141" s="1">
        <v>50</v>
      </c>
      <c r="U141" s="1">
        <v>50</v>
      </c>
      <c r="V141" s="1">
        <v>40</v>
      </c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 t="s">
        <v>202</v>
      </c>
      <c r="T142" s="1">
        <v>35</v>
      </c>
      <c r="U142" s="1">
        <v>35</v>
      </c>
      <c r="V142" s="1">
        <v>25</v>
      </c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 t="s">
        <v>203</v>
      </c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 t="s">
        <v>139</v>
      </c>
      <c r="X145" s="1">
        <v>0</v>
      </c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 t="s">
        <v>141</v>
      </c>
      <c r="X146" s="1">
        <v>1</v>
      </c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 t="s">
        <v>142</v>
      </c>
      <c r="X147" s="1">
        <v>1</v>
      </c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 t="s">
        <v>143</v>
      </c>
      <c r="X148" s="1">
        <v>1</v>
      </c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 t="s">
        <v>145</v>
      </c>
      <c r="X149" s="1">
        <v>1</v>
      </c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 t="s">
        <v>146</v>
      </c>
      <c r="X150" s="1">
        <v>1</v>
      </c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 t="s">
        <v>147</v>
      </c>
      <c r="X151" s="1">
        <v>1</v>
      </c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 t="s">
        <v>148</v>
      </c>
      <c r="X152" s="1">
        <v>0</v>
      </c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 t="s">
        <v>149</v>
      </c>
      <c r="X153" s="1">
        <v>0</v>
      </c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 t="s">
        <v>150</v>
      </c>
      <c r="X154" s="1">
        <v>0</v>
      </c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 t="s">
        <v>151</v>
      </c>
      <c r="X155" s="1">
        <v>0</v>
      </c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 t="s">
        <v>152</v>
      </c>
      <c r="X156" s="1">
        <v>0</v>
      </c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 t="s">
        <v>153</v>
      </c>
      <c r="X157" s="1">
        <v>0</v>
      </c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 t="s">
        <v>154</v>
      </c>
      <c r="X158" s="1">
        <v>0</v>
      </c>
      <c r="Y158" s="1"/>
      <c r="Z158" s="1"/>
    </row>
    <row r="159" spans="1:26" ht="12.75" customHeight="1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 t="s">
        <v>155</v>
      </c>
      <c r="X159" s="6">
        <v>0</v>
      </c>
      <c r="Y159" s="6"/>
      <c r="Z159" s="6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 t="s">
        <v>156</v>
      </c>
      <c r="X160" s="1">
        <v>0</v>
      </c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 t="s">
        <v>157</v>
      </c>
      <c r="X161" s="1">
        <v>1</v>
      </c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 t="s">
        <v>159</v>
      </c>
      <c r="X162" s="1">
        <v>0</v>
      </c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 t="s">
        <v>136</v>
      </c>
      <c r="X163" s="1">
        <v>0</v>
      </c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 t="s">
        <v>161</v>
      </c>
      <c r="X164" s="1">
        <v>0</v>
      </c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 t="s">
        <v>162</v>
      </c>
      <c r="X165" s="1">
        <v>0</v>
      </c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sheetProtection algorithmName="SHA-512" hashValue="LhSrRzjQ2uLDpuZcwWkCvOgIMMYdiCrJfpZAlbCgCHUJlYbGaU6v0qN3MmVPFRmoHau0YFRJSagGyBSCDKHSew==" saltValue="VnOSLmUIHUwwfBDYDkPO1w==" spinCount="100000" sheet="1" objects="1" scenarios="1" selectLockedCells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List - !!Modifed points!!!</vt:lpstr>
      <vt:lpstr>Instruction Notes</vt:lpstr>
      <vt:lpstr>Lookup</vt:lpstr>
      <vt:lpstr>Definition</vt:lpstr>
      <vt:lpstr>FoGDrop_Down</vt:lpstr>
      <vt:lpstr>General</vt:lpstr>
      <vt:lpstr>Impact</vt:lpstr>
      <vt:lpstr>Local_language</vt:lpstr>
      <vt:lpstr>Melee</vt:lpstr>
      <vt:lpstr>Shooting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Freeman</dc:creator>
  <cp:lastModifiedBy>Paul Freeman</cp:lastModifiedBy>
  <dcterms:created xsi:type="dcterms:W3CDTF">2017-11-05T09:35:08Z</dcterms:created>
  <dcterms:modified xsi:type="dcterms:W3CDTF">2020-01-02T16:36:07Z</dcterms:modified>
</cp:coreProperties>
</file>